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長庚\原桌面-HOXD10-experimental folder\Manuscript\4.Oncology letters\R1\"/>
    </mc:Choice>
  </mc:AlternateContent>
  <xr:revisionPtr revIDLastSave="0" documentId="13_ncr:1_{B86C078A-4349-47B1-8B2B-79CEAA984431}" xr6:coauthVersionLast="36" xr6:coauthVersionMax="36" xr10:uidLastSave="{00000000-0000-0000-0000-000000000000}"/>
  <bookViews>
    <workbookView xWindow="240" yWindow="24" windowWidth="16104" windowHeight="9660" activeTab="2" xr2:uid="{00000000-000D-0000-FFFF-FFFF00000000}"/>
  </bookViews>
  <sheets>
    <sheet name="Slide_List" sheetId="1" r:id="rId1"/>
    <sheet name="Diff Data_HDvs.ND (UP)" sheetId="4" r:id="rId2"/>
    <sheet name="Diff Data_HDvs.ND (Down)" sheetId="5" r:id="rId3"/>
  </sheets>
  <definedNames>
    <definedName name="_xlnm._FilterDatabase" localSheetId="2" hidden="1">'Diff Data_HDvs.ND (Down)'!$A$2:$N$2</definedName>
    <definedName name="_xlnm._FilterDatabase" localSheetId="1" hidden="1">'Diff Data_HDvs.ND (UP)'!$A$2:$N$2</definedName>
  </definedNames>
  <calcPr calcId="191029"/>
</workbook>
</file>

<file path=xl/calcChain.xml><?xml version="1.0" encoding="utf-8"?>
<calcChain xmlns="http://schemas.openxmlformats.org/spreadsheetml/2006/main">
  <c r="L13" i="5" l="1"/>
  <c r="J13" i="5"/>
  <c r="I13" i="5"/>
  <c r="L1168" i="5"/>
  <c r="I1168" i="5"/>
  <c r="L50" i="5"/>
  <c r="J50" i="5"/>
  <c r="I50" i="5"/>
  <c r="L823" i="5"/>
  <c r="J823" i="5"/>
  <c r="I823" i="5"/>
  <c r="L1311" i="5"/>
  <c r="J1311" i="5"/>
  <c r="I1311" i="5"/>
  <c r="L701" i="5"/>
  <c r="J701" i="5"/>
  <c r="I701" i="5"/>
  <c r="L408" i="5"/>
  <c r="J408" i="5"/>
  <c r="I408" i="5"/>
  <c r="L287" i="5"/>
  <c r="I287" i="5"/>
  <c r="L1539" i="5"/>
  <c r="J1539" i="5"/>
  <c r="I1539" i="5"/>
  <c r="L1673" i="5"/>
  <c r="I1673" i="5"/>
  <c r="L746" i="5"/>
  <c r="I746" i="5"/>
  <c r="L501" i="5"/>
  <c r="J501" i="5"/>
  <c r="I501" i="5"/>
  <c r="L779" i="5"/>
  <c r="J779" i="5"/>
  <c r="I779" i="5"/>
  <c r="L473" i="5"/>
  <c r="I473" i="5"/>
  <c r="L664" i="5"/>
  <c r="J664" i="5"/>
  <c r="I664" i="5"/>
  <c r="L1461" i="5"/>
  <c r="L1072" i="5"/>
  <c r="L836" i="5"/>
  <c r="L1508" i="5"/>
  <c r="L522" i="5"/>
  <c r="L808" i="5"/>
  <c r="L1116" i="5"/>
  <c r="L1201" i="5"/>
  <c r="L517" i="5"/>
  <c r="L102" i="5"/>
  <c r="L511" i="5"/>
  <c r="L331" i="5"/>
  <c r="L1203" i="5"/>
  <c r="I1203" i="5"/>
  <c r="I1576" i="5"/>
  <c r="I1109" i="5"/>
  <c r="I339" i="5"/>
  <c r="J82" i="5"/>
  <c r="I82" i="5"/>
  <c r="L206" i="5"/>
  <c r="I206" i="5"/>
  <c r="L375" i="5"/>
  <c r="I375" i="5"/>
  <c r="L128" i="5"/>
  <c r="I128" i="5"/>
  <c r="L1180" i="5"/>
  <c r="I1180" i="5"/>
  <c r="L1117" i="5"/>
  <c r="I1117" i="5"/>
  <c r="L998" i="5"/>
  <c r="I998" i="5"/>
  <c r="L608" i="5"/>
  <c r="I608" i="5"/>
  <c r="L1727" i="5"/>
  <c r="I1099" i="5"/>
  <c r="J352" i="5"/>
  <c r="I352" i="5"/>
  <c r="L43" i="5"/>
  <c r="J43" i="5"/>
  <c r="I43" i="5"/>
  <c r="J1505" i="5"/>
  <c r="I1505" i="5"/>
  <c r="L283" i="5"/>
  <c r="J283" i="5"/>
  <c r="I283" i="5"/>
  <c r="J211" i="5"/>
  <c r="I211" i="5"/>
  <c r="J1658" i="5"/>
  <c r="I1658" i="5"/>
  <c r="L1578" i="5"/>
  <c r="J1578" i="5"/>
  <c r="I1578" i="5"/>
  <c r="L482" i="5"/>
  <c r="J482" i="5"/>
  <c r="I482" i="5"/>
  <c r="L395" i="5"/>
  <c r="J395" i="5"/>
  <c r="I395" i="5"/>
  <c r="L835" i="5"/>
  <c r="J835" i="5"/>
  <c r="I835" i="5"/>
  <c r="L1666" i="5"/>
  <c r="J1666" i="5"/>
  <c r="I1666" i="5"/>
  <c r="L270" i="5"/>
  <c r="J270" i="5"/>
  <c r="I270" i="5"/>
  <c r="L411" i="5"/>
  <c r="J411" i="5"/>
  <c r="I411" i="5"/>
  <c r="L1092" i="5"/>
  <c r="J1092" i="5"/>
  <c r="I1092" i="5"/>
  <c r="J297" i="5"/>
  <c r="I297" i="5"/>
  <c r="L1507" i="5"/>
  <c r="J1507" i="5"/>
  <c r="I1507" i="5"/>
  <c r="L899" i="5"/>
  <c r="J899" i="5"/>
  <c r="I899" i="5"/>
  <c r="L90" i="5"/>
  <c r="L922" i="5"/>
  <c r="J922" i="5"/>
  <c r="I922" i="5"/>
  <c r="L1634" i="5"/>
  <c r="L280" i="5"/>
  <c r="L1131" i="5"/>
  <c r="J1131" i="5"/>
  <c r="I1131" i="5"/>
  <c r="L54" i="5"/>
  <c r="I54" i="5"/>
  <c r="L838" i="5"/>
  <c r="I838" i="5"/>
  <c r="L1643" i="5"/>
  <c r="I1643" i="5"/>
  <c r="L1424" i="5"/>
  <c r="J1424" i="5"/>
  <c r="I1424" i="5"/>
  <c r="L871" i="5"/>
  <c r="I871" i="5"/>
  <c r="L170" i="5"/>
  <c r="I170" i="5"/>
  <c r="L345" i="5"/>
  <c r="I345" i="5"/>
  <c r="L1402" i="5"/>
  <c r="I1402" i="5"/>
  <c r="L336" i="5"/>
  <c r="I336" i="5"/>
  <c r="L1597" i="5"/>
  <c r="I1597" i="5"/>
  <c r="L868" i="5"/>
  <c r="I868" i="5"/>
  <c r="L191" i="5"/>
  <c r="I191" i="5"/>
  <c r="L1423" i="5"/>
  <c r="J1423" i="5"/>
  <c r="I1423" i="5"/>
  <c r="L494" i="5"/>
  <c r="L316" i="5"/>
  <c r="I316" i="5"/>
  <c r="L319" i="5"/>
  <c r="I319" i="5"/>
  <c r="L1061" i="5"/>
  <c r="J1061" i="5"/>
  <c r="I1061" i="5"/>
  <c r="L1712" i="5"/>
  <c r="J1712" i="5"/>
  <c r="I1712" i="5"/>
  <c r="L1693" i="5"/>
  <c r="J1693" i="5"/>
  <c r="I1693" i="5"/>
  <c r="L753" i="5"/>
  <c r="J753" i="5"/>
  <c r="I753" i="5"/>
  <c r="L1631" i="5"/>
  <c r="I1631" i="5"/>
  <c r="L1624" i="5"/>
  <c r="I1624" i="5"/>
  <c r="L219" i="5"/>
  <c r="J219" i="5"/>
  <c r="I219" i="5"/>
  <c r="L1754" i="5"/>
  <c r="L917" i="5"/>
  <c r="J917" i="5"/>
  <c r="I917" i="5"/>
  <c r="L432" i="5"/>
  <c r="L821" i="5"/>
  <c r="I821" i="5"/>
  <c r="L105" i="5"/>
  <c r="L747" i="5"/>
  <c r="I747" i="5"/>
  <c r="L1295" i="5"/>
  <c r="J1295" i="5"/>
  <c r="I1295" i="5"/>
  <c r="L286" i="5"/>
  <c r="L1110" i="5"/>
  <c r="J1110" i="5"/>
  <c r="I1110" i="5"/>
  <c r="L485" i="5"/>
  <c r="J485" i="5"/>
  <c r="I485" i="5"/>
  <c r="L1356" i="5"/>
  <c r="J1356" i="5"/>
  <c r="I1356" i="5"/>
  <c r="L1434" i="5"/>
  <c r="L1018" i="5"/>
  <c r="J1018" i="5"/>
  <c r="I1018" i="5"/>
  <c r="L1472" i="5"/>
  <c r="I1472" i="5"/>
  <c r="L119" i="5"/>
  <c r="J119" i="5"/>
  <c r="I119" i="5"/>
  <c r="L81" i="5"/>
  <c r="L1321" i="5"/>
  <c r="I1321" i="5"/>
  <c r="L911" i="5"/>
  <c r="J911" i="5"/>
  <c r="I911" i="5"/>
  <c r="L1422" i="5"/>
  <c r="I1422" i="5"/>
  <c r="L603" i="5"/>
  <c r="I603" i="5"/>
  <c r="L1645" i="5"/>
  <c r="J1645" i="5"/>
  <c r="I1645" i="5"/>
  <c r="L1283" i="5"/>
  <c r="J1283" i="5"/>
  <c r="I1283" i="5"/>
  <c r="L455" i="5"/>
  <c r="J455" i="5"/>
  <c r="I455" i="5"/>
  <c r="L800" i="5"/>
  <c r="J800" i="5"/>
  <c r="I800" i="5"/>
  <c r="L568" i="5"/>
  <c r="J568" i="5"/>
  <c r="I568" i="5"/>
  <c r="L1151" i="5"/>
  <c r="J1151" i="5"/>
  <c r="I1151" i="5"/>
  <c r="L238" i="5"/>
  <c r="J238" i="5"/>
  <c r="I238" i="5"/>
  <c r="L208" i="5"/>
  <c r="J208" i="5"/>
  <c r="I208" i="5"/>
  <c r="L392" i="5"/>
  <c r="J392" i="5"/>
  <c r="I392" i="5"/>
  <c r="L271" i="5"/>
  <c r="J271" i="5"/>
  <c r="I271" i="5"/>
  <c r="L183" i="5"/>
  <c r="J183" i="5"/>
  <c r="I183" i="5"/>
  <c r="L565" i="5"/>
  <c r="J565" i="5"/>
  <c r="I565" i="5"/>
  <c r="L1022" i="5"/>
  <c r="J1022" i="5"/>
  <c r="I1022" i="5"/>
  <c r="L1753" i="5"/>
  <c r="J1753" i="5"/>
  <c r="I1753" i="5"/>
  <c r="L645" i="5"/>
  <c r="J645" i="5"/>
  <c r="I645" i="5"/>
  <c r="L1113" i="5"/>
  <c r="J1113" i="5"/>
  <c r="I1113" i="5"/>
  <c r="L1176" i="5"/>
  <c r="J1176" i="5"/>
  <c r="I1176" i="5"/>
  <c r="L1246" i="5"/>
  <c r="J1246" i="5"/>
  <c r="I1246" i="5"/>
  <c r="L447" i="5"/>
  <c r="J447" i="5"/>
  <c r="I447" i="5"/>
  <c r="L1686" i="5"/>
  <c r="J1686" i="5"/>
  <c r="I1686" i="5"/>
  <c r="L1052" i="5"/>
  <c r="J1052" i="5"/>
  <c r="I1052" i="5"/>
  <c r="L622" i="5"/>
  <c r="J622" i="5"/>
  <c r="I622" i="5"/>
  <c r="L774" i="5"/>
  <c r="J774" i="5"/>
  <c r="I774" i="5"/>
  <c r="L1500" i="5"/>
  <c r="J1500" i="5"/>
  <c r="I1500" i="5"/>
  <c r="L1481" i="5"/>
  <c r="J1481" i="5"/>
  <c r="I1481" i="5"/>
  <c r="L1179" i="5"/>
  <c r="J1179" i="5"/>
  <c r="I1179" i="5"/>
  <c r="L1675" i="5"/>
  <c r="J1675" i="5"/>
  <c r="I1675" i="5"/>
  <c r="L651" i="5"/>
  <c r="J651" i="5"/>
  <c r="I651" i="5"/>
  <c r="L1331" i="5"/>
  <c r="J1331" i="5"/>
  <c r="I1331" i="5"/>
  <c r="L790" i="5"/>
  <c r="L826" i="5"/>
  <c r="J826" i="5"/>
  <c r="I826" i="5"/>
  <c r="L1762" i="5"/>
  <c r="J1762" i="5"/>
  <c r="I1762" i="5"/>
  <c r="L825" i="5"/>
  <c r="J825" i="5"/>
  <c r="I825" i="5"/>
  <c r="L1195" i="5"/>
  <c r="J1195" i="5"/>
  <c r="I1195" i="5"/>
  <c r="L166" i="5"/>
  <c r="L262" i="5"/>
  <c r="I262" i="5"/>
  <c r="L750" i="5"/>
  <c r="I750" i="5"/>
  <c r="L1124" i="5"/>
  <c r="J1124" i="5"/>
  <c r="I1124" i="5"/>
  <c r="L1184" i="5"/>
  <c r="I1184" i="5"/>
  <c r="L903" i="5"/>
  <c r="J903" i="5"/>
  <c r="I903" i="5"/>
  <c r="L703" i="5"/>
  <c r="J703" i="5"/>
  <c r="I703" i="5"/>
  <c r="L727" i="5"/>
  <c r="I727" i="5"/>
  <c r="L1156" i="5"/>
  <c r="I1156" i="5"/>
  <c r="L1210" i="5"/>
  <c r="L970" i="5"/>
  <c r="I970" i="5"/>
  <c r="L1028" i="5"/>
  <c r="L73" i="5"/>
  <c r="I73" i="5"/>
  <c r="L593" i="5"/>
  <c r="J593" i="5"/>
  <c r="I593" i="5"/>
  <c r="L1001" i="5"/>
  <c r="J1001" i="5"/>
  <c r="I1001" i="5"/>
  <c r="L1613" i="5"/>
  <c r="J1613" i="5"/>
  <c r="I1613" i="5"/>
  <c r="L376" i="5"/>
  <c r="I376" i="5"/>
  <c r="L39" i="5"/>
  <c r="J39" i="5"/>
  <c r="I39" i="5"/>
  <c r="L515" i="5"/>
  <c r="J515" i="5"/>
  <c r="I515" i="5"/>
  <c r="L1301" i="5"/>
  <c r="L773" i="5"/>
  <c r="J773" i="5"/>
  <c r="I773" i="5"/>
  <c r="L1626" i="5"/>
  <c r="J1626" i="5"/>
  <c r="I1626" i="5"/>
  <c r="L1155" i="5"/>
  <c r="I1155" i="5"/>
  <c r="L961" i="5"/>
  <c r="J961" i="5"/>
  <c r="I961" i="5"/>
  <c r="L182" i="5"/>
  <c r="J182" i="5"/>
  <c r="I182" i="5"/>
  <c r="L381" i="5"/>
  <c r="J381" i="5"/>
  <c r="I381" i="5"/>
  <c r="L41" i="5"/>
  <c r="J41" i="5"/>
  <c r="I41" i="5"/>
  <c r="L1029" i="5"/>
  <c r="I1029" i="5"/>
  <c r="L1439" i="5"/>
  <c r="J1439" i="5"/>
  <c r="I1439" i="5"/>
  <c r="L1410" i="5"/>
  <c r="J1410" i="5"/>
  <c r="I1410" i="5"/>
  <c r="L142" i="5"/>
  <c r="J142" i="5"/>
  <c r="I142" i="5"/>
  <c r="L62" i="5"/>
  <c r="I62" i="5"/>
  <c r="L1378" i="5"/>
  <c r="J1378" i="5"/>
  <c r="I1378" i="5"/>
  <c r="L176" i="5"/>
  <c r="J176" i="5"/>
  <c r="I176" i="5"/>
  <c r="L1071" i="5"/>
  <c r="I1071" i="5"/>
  <c r="L1537" i="5"/>
  <c r="J1537" i="5"/>
  <c r="I1537" i="5"/>
  <c r="L132" i="5"/>
  <c r="I132" i="5"/>
  <c r="L1530" i="5"/>
  <c r="J1530" i="5"/>
  <c r="I1530" i="5"/>
  <c r="L958" i="5"/>
  <c r="J958" i="5"/>
  <c r="I958" i="5"/>
  <c r="L863" i="5"/>
  <c r="J863" i="5"/>
  <c r="I863" i="5"/>
  <c r="L742" i="5"/>
  <c r="J742" i="5"/>
  <c r="I742" i="5"/>
  <c r="L111" i="5"/>
  <c r="J111" i="5"/>
  <c r="I111" i="5"/>
  <c r="L807" i="5"/>
  <c r="J807" i="5"/>
  <c r="I807" i="5"/>
  <c r="L1163" i="5"/>
  <c r="J1163" i="5"/>
  <c r="I1163" i="5"/>
  <c r="L1324" i="5"/>
  <c r="I1324" i="5"/>
  <c r="L942" i="5"/>
  <c r="I942" i="5"/>
  <c r="L295" i="5"/>
  <c r="J295" i="5"/>
  <c r="I295" i="5"/>
  <c r="L1732" i="5"/>
  <c r="J1732" i="5"/>
  <c r="I1732" i="5"/>
  <c r="L85" i="5"/>
  <c r="I85" i="5"/>
  <c r="L530" i="5"/>
  <c r="J530" i="5"/>
  <c r="I530" i="5"/>
  <c r="L38" i="5"/>
  <c r="J38" i="5"/>
  <c r="I38" i="5"/>
  <c r="L1336" i="5"/>
  <c r="I1336" i="5"/>
  <c r="L127" i="5"/>
  <c r="J127" i="5"/>
  <c r="I127" i="5"/>
  <c r="L1119" i="5"/>
  <c r="I1119" i="5"/>
  <c r="L216" i="5"/>
  <c r="J216" i="5"/>
  <c r="I216" i="5"/>
  <c r="L864" i="5"/>
  <c r="J864" i="5"/>
  <c r="I864" i="5"/>
  <c r="L188" i="5"/>
  <c r="J188" i="5"/>
  <c r="I188" i="5"/>
  <c r="L1419" i="5"/>
  <c r="J1419" i="5"/>
  <c r="I1419" i="5"/>
  <c r="L141" i="5"/>
  <c r="J141" i="5"/>
  <c r="I141" i="5"/>
  <c r="L276" i="5"/>
  <c r="I276" i="5"/>
  <c r="L1256" i="5"/>
  <c r="I1256" i="5"/>
  <c r="L45" i="5"/>
  <c r="J45" i="5"/>
  <c r="I45" i="5"/>
  <c r="L1121" i="5"/>
  <c r="I1121" i="5"/>
  <c r="L32" i="5"/>
  <c r="I32" i="5"/>
  <c r="L230" i="5"/>
  <c r="I230" i="5"/>
  <c r="L702" i="5"/>
  <c r="I702" i="5"/>
  <c r="L83" i="5"/>
  <c r="J83" i="5"/>
  <c r="I83" i="5"/>
  <c r="L47" i="5"/>
  <c r="I47" i="5"/>
  <c r="L130" i="5"/>
  <c r="I130" i="5"/>
  <c r="L732" i="5"/>
  <c r="J732" i="5"/>
  <c r="I732" i="5"/>
  <c r="L1681" i="5"/>
  <c r="J1681" i="5"/>
  <c r="I1681" i="5"/>
  <c r="L253" i="5"/>
  <c r="I253" i="5"/>
  <c r="L187" i="5"/>
  <c r="J187" i="5"/>
  <c r="I187" i="5"/>
  <c r="L1667" i="5"/>
  <c r="I1667" i="5"/>
  <c r="L1389" i="5"/>
  <c r="I1389" i="5"/>
  <c r="L1515" i="5"/>
  <c r="L334" i="5"/>
  <c r="I334" i="5"/>
  <c r="L1153" i="5"/>
  <c r="L116" i="5"/>
  <c r="I116" i="5"/>
  <c r="J1487" i="5"/>
  <c r="I1487" i="5"/>
  <c r="L597" i="5"/>
  <c r="J597" i="5"/>
  <c r="I597" i="5"/>
  <c r="L935" i="5"/>
  <c r="J935" i="5"/>
  <c r="I935" i="5"/>
  <c r="L1148" i="5"/>
  <c r="I1148" i="5"/>
  <c r="L1768" i="5"/>
  <c r="J1768" i="5"/>
  <c r="I1768" i="5"/>
  <c r="L1635" i="5"/>
  <c r="J1635" i="5"/>
  <c r="I1635" i="5"/>
  <c r="L1056" i="5"/>
  <c r="J1056" i="5"/>
  <c r="I1056" i="5"/>
  <c r="L1411" i="5"/>
  <c r="J1411" i="5"/>
  <c r="I1411" i="5"/>
  <c r="L421" i="5"/>
  <c r="I421" i="5"/>
  <c r="L941" i="5"/>
  <c r="J941" i="5"/>
  <c r="I941" i="5"/>
  <c r="L586" i="5"/>
  <c r="I586" i="5"/>
  <c r="L1453" i="5"/>
  <c r="I1453" i="5"/>
  <c r="L413" i="5"/>
  <c r="I413" i="5"/>
  <c r="L1399" i="5"/>
  <c r="J1399" i="5"/>
  <c r="I1399" i="5"/>
  <c r="L690" i="5"/>
  <c r="I690" i="5"/>
  <c r="L707" i="5"/>
  <c r="J707" i="5"/>
  <c r="I707" i="5"/>
  <c r="L126" i="5"/>
  <c r="I126" i="5"/>
  <c r="L1291" i="5"/>
  <c r="J1291" i="5"/>
  <c r="I1291" i="5"/>
  <c r="L640" i="5"/>
  <c r="J640" i="5"/>
  <c r="I640" i="5"/>
  <c r="L1264" i="5"/>
  <c r="J1264" i="5"/>
  <c r="I1264" i="5"/>
  <c r="L1466" i="5"/>
  <c r="I1466" i="5"/>
  <c r="L1704" i="5"/>
  <c r="I1704" i="5"/>
  <c r="L210" i="5"/>
  <c r="J210" i="5"/>
  <c r="I210" i="5"/>
  <c r="L618" i="5"/>
  <c r="I618" i="5"/>
  <c r="L1359" i="5"/>
  <c r="J1359" i="5"/>
  <c r="I1359" i="5"/>
  <c r="L220" i="5"/>
  <c r="J220" i="5"/>
  <c r="I220" i="5"/>
  <c r="L613" i="5"/>
  <c r="J613" i="5"/>
  <c r="I613" i="5"/>
  <c r="L87" i="5"/>
  <c r="J87" i="5"/>
  <c r="I87" i="5"/>
  <c r="L855" i="5"/>
  <c r="I855" i="5"/>
  <c r="J93" i="5"/>
  <c r="I93" i="5"/>
  <c r="L616" i="5"/>
  <c r="J616" i="5"/>
  <c r="I616" i="5"/>
  <c r="L1764" i="5"/>
  <c r="I1764" i="5"/>
  <c r="L313" i="5"/>
  <c r="I313" i="5"/>
  <c r="L862" i="5"/>
  <c r="J862" i="5"/>
  <c r="I862" i="5"/>
  <c r="L675" i="5"/>
  <c r="I675" i="5"/>
  <c r="L99" i="5"/>
  <c r="I99" i="5"/>
  <c r="L819" i="5"/>
  <c r="I819" i="5"/>
  <c r="L772" i="5"/>
  <c r="J772" i="5"/>
  <c r="I772" i="5"/>
  <c r="L289" i="5"/>
  <c r="I289" i="5"/>
  <c r="L632" i="5"/>
  <c r="J632" i="5"/>
  <c r="I632" i="5"/>
  <c r="L1340" i="5"/>
  <c r="I1340" i="5"/>
  <c r="L254" i="5"/>
  <c r="I254" i="5"/>
  <c r="L1049" i="5"/>
  <c r="J1049" i="5"/>
  <c r="I1049" i="5"/>
  <c r="L1222" i="5"/>
  <c r="I1222" i="5"/>
  <c r="L542" i="5"/>
  <c r="I542" i="5"/>
  <c r="L464" i="5"/>
  <c r="J464" i="5"/>
  <c r="I464" i="5"/>
  <c r="L250" i="5"/>
  <c r="J250" i="5"/>
  <c r="I250" i="5"/>
  <c r="L1629" i="5"/>
  <c r="I1629" i="5"/>
  <c r="L582" i="5"/>
  <c r="I582" i="5"/>
  <c r="L1032" i="5"/>
  <c r="I1032" i="5"/>
  <c r="L1649" i="5"/>
  <c r="I1649" i="5"/>
  <c r="L31" i="5"/>
  <c r="I31" i="5"/>
  <c r="L1697" i="5"/>
  <c r="J1697" i="5"/>
  <c r="I1697" i="5"/>
  <c r="L1362" i="5"/>
  <c r="I1362" i="5"/>
  <c r="L380" i="5"/>
  <c r="J380" i="5"/>
  <c r="I380" i="5"/>
  <c r="L797" i="5"/>
  <c r="I797" i="5"/>
  <c r="L349" i="5"/>
  <c r="J349" i="5"/>
  <c r="I349" i="5"/>
  <c r="L768" i="5"/>
  <c r="J768" i="5"/>
  <c r="I768" i="5"/>
  <c r="L724" i="5"/>
  <c r="J724" i="5"/>
  <c r="I724" i="5"/>
  <c r="L19" i="5"/>
  <c r="I19" i="5"/>
  <c r="L1771" i="5"/>
  <c r="J1771" i="5"/>
  <c r="I1771" i="5"/>
  <c r="L67" i="5"/>
  <c r="I67" i="5"/>
  <c r="L1015" i="5"/>
  <c r="I1015" i="5"/>
  <c r="L1003" i="5"/>
  <c r="J1003" i="5"/>
  <c r="I1003" i="5"/>
  <c r="L393" i="5"/>
  <c r="I393" i="5"/>
  <c r="L1603" i="5"/>
  <c r="I1603" i="5"/>
  <c r="L1401" i="5"/>
  <c r="I1401" i="5"/>
  <c r="L636" i="5"/>
  <c r="I636" i="5"/>
  <c r="L1707" i="5"/>
  <c r="I1707" i="5"/>
  <c r="L571" i="5"/>
  <c r="J571" i="5"/>
  <c r="I571" i="5"/>
  <c r="L137" i="5"/>
  <c r="J137" i="5"/>
  <c r="I137" i="5"/>
  <c r="L1273" i="5"/>
  <c r="J1273" i="5"/>
  <c r="I1273" i="5"/>
  <c r="L71" i="5"/>
  <c r="I71" i="5"/>
  <c r="L1761" i="5"/>
  <c r="I1761" i="5"/>
  <c r="L1170" i="5"/>
  <c r="J1170" i="5"/>
  <c r="I1170" i="5"/>
  <c r="L827" i="5"/>
  <c r="I827" i="5"/>
  <c r="L1141" i="5"/>
  <c r="J1141" i="5"/>
  <c r="I1141" i="5"/>
  <c r="L1520" i="5"/>
  <c r="I1520" i="5"/>
  <c r="L197" i="5"/>
  <c r="J197" i="5"/>
  <c r="I197" i="5"/>
  <c r="L471" i="5"/>
  <c r="J471" i="5"/>
  <c r="I471" i="5"/>
  <c r="L1279" i="5"/>
  <c r="J1279" i="5"/>
  <c r="I1279" i="5"/>
  <c r="L66" i="5"/>
  <c r="J66" i="5"/>
  <c r="I66" i="5"/>
  <c r="J72" i="5"/>
  <c r="I72" i="5"/>
  <c r="L229" i="5"/>
  <c r="J229" i="5"/>
  <c r="I229" i="5"/>
  <c r="L24" i="5"/>
  <c r="J24" i="5"/>
  <c r="I24" i="5"/>
  <c r="J37" i="5"/>
  <c r="I37" i="5"/>
  <c r="L1476" i="5"/>
  <c r="J1476" i="5"/>
  <c r="I1476" i="5"/>
  <c r="L1605" i="5"/>
  <c r="J1605" i="5"/>
  <c r="I1605" i="5"/>
  <c r="L123" i="5"/>
  <c r="J123" i="5"/>
  <c r="I123" i="5"/>
  <c r="L109" i="5"/>
  <c r="J109" i="5"/>
  <c r="I109" i="5"/>
  <c r="L233" i="5"/>
  <c r="J233" i="5"/>
  <c r="I233" i="5"/>
  <c r="L1197" i="5"/>
  <c r="J1197" i="5"/>
  <c r="I1197" i="5"/>
  <c r="L1316" i="5"/>
  <c r="J1316" i="5"/>
  <c r="I1316" i="5"/>
  <c r="L1746" i="5"/>
  <c r="J1746" i="5"/>
  <c r="I1746" i="5"/>
  <c r="L138" i="5"/>
  <c r="J138" i="5"/>
  <c r="I138" i="5"/>
  <c r="L144" i="5"/>
  <c r="J144" i="5"/>
  <c r="I144" i="5"/>
  <c r="L1672" i="5"/>
  <c r="J1672" i="5"/>
  <c r="I1672" i="5"/>
  <c r="L857" i="5"/>
  <c r="J857" i="5"/>
  <c r="I857" i="5"/>
  <c r="L1351" i="5"/>
  <c r="J1351" i="5"/>
  <c r="I1351" i="5"/>
  <c r="L438" i="5"/>
  <c r="J438" i="5"/>
  <c r="I438" i="5"/>
  <c r="L317" i="5"/>
  <c r="J317" i="5"/>
  <c r="I317" i="5"/>
  <c r="L1164" i="5"/>
  <c r="J1164" i="5"/>
  <c r="I1164" i="5"/>
  <c r="L658" i="5"/>
  <c r="J658" i="5"/>
  <c r="I658" i="5"/>
  <c r="L1262" i="5"/>
  <c r="J1262" i="5"/>
  <c r="I1262" i="5"/>
  <c r="L1398" i="5"/>
  <c r="J1398" i="5"/>
  <c r="I1398" i="5"/>
  <c r="L1287" i="5"/>
  <c r="J1287" i="5"/>
  <c r="I1287" i="5"/>
  <c r="L783" i="5"/>
  <c r="J783" i="5"/>
  <c r="I783" i="5"/>
  <c r="L853" i="5"/>
  <c r="J853" i="5"/>
  <c r="I853" i="5"/>
  <c r="L752" i="5"/>
  <c r="J752" i="5"/>
  <c r="I752" i="5"/>
  <c r="L258" i="5"/>
  <c r="J258" i="5"/>
  <c r="I258" i="5"/>
  <c r="L1364" i="5"/>
  <c r="I1364" i="5"/>
  <c r="L639" i="5"/>
  <c r="J639" i="5"/>
  <c r="I639" i="5"/>
  <c r="L124" i="5"/>
  <c r="I124" i="5"/>
  <c r="L987" i="5"/>
  <c r="J987" i="5"/>
  <c r="I987" i="5"/>
  <c r="L1409" i="5"/>
  <c r="J1409" i="5"/>
  <c r="I1409" i="5"/>
  <c r="L996" i="5"/>
  <c r="I996" i="5"/>
  <c r="L84" i="5"/>
  <c r="I84" i="5"/>
  <c r="L69" i="5"/>
  <c r="I69" i="5"/>
  <c r="L429" i="5"/>
  <c r="J429" i="5"/>
  <c r="I429" i="5"/>
  <c r="L1595" i="5"/>
  <c r="I1595" i="5"/>
  <c r="L1026" i="5"/>
  <c r="I1026" i="5"/>
  <c r="L377" i="5"/>
  <c r="I377" i="5"/>
  <c r="L756" i="5"/>
  <c r="I756" i="5"/>
  <c r="L1447" i="5"/>
  <c r="I1447" i="5"/>
  <c r="L15" i="5"/>
  <c r="J15" i="5"/>
  <c r="I15" i="5"/>
  <c r="L1692" i="5"/>
  <c r="I1692" i="5"/>
  <c r="L1194" i="5"/>
  <c r="I1194" i="5"/>
  <c r="L1088" i="5"/>
  <c r="I1088" i="5"/>
  <c r="L1651" i="5"/>
  <c r="I1651" i="5"/>
  <c r="L641" i="5"/>
  <c r="I641" i="5"/>
  <c r="L484" i="5"/>
  <c r="J484" i="5"/>
  <c r="I484" i="5"/>
  <c r="L424" i="5"/>
  <c r="J424" i="5"/>
  <c r="I424" i="5"/>
  <c r="L1524" i="5"/>
  <c r="J1524" i="5"/>
  <c r="I1524" i="5"/>
  <c r="L1189" i="5"/>
  <c r="I1189" i="5"/>
  <c r="L1499" i="5"/>
  <c r="J1499" i="5"/>
  <c r="I1499" i="5"/>
  <c r="L1589" i="5"/>
  <c r="I1589" i="5"/>
  <c r="L417" i="5"/>
  <c r="I417" i="5"/>
  <c r="L294" i="5"/>
  <c r="J294" i="5"/>
  <c r="I294" i="5"/>
  <c r="L1750" i="5"/>
  <c r="I1750" i="5"/>
  <c r="L1344" i="5"/>
  <c r="J1344" i="5"/>
  <c r="I1344" i="5"/>
  <c r="L1386" i="5"/>
  <c r="I1386" i="5"/>
  <c r="L736" i="5"/>
  <c r="J736" i="5"/>
  <c r="I736" i="5"/>
  <c r="L512" i="5"/>
  <c r="I512" i="5"/>
  <c r="L1008" i="5"/>
  <c r="I1008" i="5"/>
  <c r="L48" i="5"/>
  <c r="I48" i="5"/>
  <c r="L390" i="5"/>
  <c r="J390" i="5"/>
  <c r="I390" i="5"/>
  <c r="L386" i="5"/>
  <c r="I386" i="5"/>
  <c r="L171" i="5"/>
  <c r="J171" i="5"/>
  <c r="I171" i="5"/>
  <c r="L1493" i="5"/>
  <c r="I1493" i="5"/>
  <c r="L710" i="5"/>
  <c r="I710" i="5"/>
  <c r="L1348" i="5"/>
  <c r="J1348" i="5"/>
  <c r="I1348" i="5"/>
  <c r="L1069" i="5"/>
  <c r="J1069" i="5"/>
  <c r="I1069" i="5"/>
  <c r="L1608" i="5"/>
  <c r="I1608" i="5"/>
  <c r="L577" i="5"/>
  <c r="I577" i="5"/>
  <c r="L1622" i="5"/>
  <c r="J1622" i="5"/>
  <c r="I1622" i="5"/>
  <c r="L1685" i="5"/>
  <c r="I1685" i="5"/>
  <c r="L1118" i="5"/>
  <c r="J1118" i="5"/>
  <c r="I1118" i="5"/>
  <c r="L507" i="5"/>
  <c r="I507" i="5"/>
  <c r="L1343" i="5"/>
  <c r="I1343" i="5"/>
  <c r="L1160" i="5"/>
  <c r="I1160" i="5"/>
  <c r="L944" i="5"/>
  <c r="J944" i="5"/>
  <c r="I944" i="5"/>
  <c r="L161" i="5"/>
  <c r="J161" i="5"/>
  <c r="I161" i="5"/>
  <c r="L614" i="5"/>
  <c r="I614" i="5"/>
  <c r="L1232" i="5"/>
  <c r="J1232" i="5"/>
  <c r="I1232" i="5"/>
  <c r="L1288" i="5"/>
  <c r="J1288" i="5"/>
  <c r="I1288" i="5"/>
  <c r="L1371" i="5"/>
  <c r="I1371" i="5"/>
  <c r="L546" i="5"/>
  <c r="J546" i="5"/>
  <c r="I546" i="5"/>
  <c r="L1185" i="5"/>
  <c r="I1185" i="5"/>
  <c r="L985" i="5"/>
  <c r="L89" i="5"/>
  <c r="I89" i="5"/>
  <c r="L1396" i="5"/>
  <c r="I1396" i="5"/>
  <c r="L1284" i="5"/>
  <c r="I1284" i="5"/>
  <c r="L133" i="5"/>
  <c r="I133" i="5"/>
  <c r="L927" i="5"/>
  <c r="I927" i="5"/>
  <c r="L1074" i="5"/>
  <c r="J1074" i="5"/>
  <c r="I1074" i="5"/>
  <c r="L817" i="5"/>
  <c r="I817" i="5"/>
  <c r="L454" i="5"/>
  <c r="I454" i="5"/>
  <c r="L497" i="5"/>
  <c r="I497" i="5"/>
  <c r="L239" i="5"/>
  <c r="I239" i="5"/>
  <c r="L422" i="5"/>
  <c r="I422" i="5"/>
  <c r="L403" i="5"/>
  <c r="J403" i="5"/>
  <c r="I403" i="5"/>
  <c r="L1427" i="5"/>
  <c r="J1427" i="5"/>
  <c r="I1427" i="5"/>
  <c r="L555" i="5"/>
  <c r="J555" i="5"/>
  <c r="I555" i="5"/>
  <c r="L1678" i="5"/>
  <c r="J1678" i="5"/>
  <c r="I1678" i="5"/>
  <c r="L246" i="5"/>
  <c r="I246" i="5"/>
  <c r="L1221" i="5"/>
  <c r="I1221" i="5"/>
  <c r="L1535" i="5"/>
  <c r="J1535" i="5"/>
  <c r="I1535" i="5"/>
  <c r="L1400" i="5"/>
  <c r="J1400" i="5"/>
  <c r="I1400" i="5"/>
  <c r="L1511" i="5"/>
  <c r="I1511" i="5"/>
  <c r="L1517" i="5"/>
  <c r="I1517" i="5"/>
  <c r="L550" i="5"/>
  <c r="I550" i="5"/>
  <c r="L1662" i="5"/>
  <c r="I1662" i="5"/>
  <c r="L672" i="5"/>
  <c r="I672" i="5"/>
  <c r="L531" i="5"/>
  <c r="J531" i="5"/>
  <c r="I531" i="5"/>
  <c r="L810" i="5"/>
  <c r="J810" i="5"/>
  <c r="I810" i="5"/>
  <c r="L77" i="5"/>
  <c r="I77" i="5"/>
  <c r="L735" i="5"/>
  <c r="I735" i="5"/>
  <c r="L1518" i="5"/>
  <c r="J1518" i="5"/>
  <c r="I1518" i="5"/>
  <c r="L274" i="5"/>
  <c r="J274" i="5"/>
  <c r="I274" i="5"/>
  <c r="L689" i="5"/>
  <c r="I689" i="5"/>
  <c r="L496" i="5"/>
  <c r="I496" i="5"/>
  <c r="L1729" i="5"/>
  <c r="I1729" i="5"/>
  <c r="L1415" i="5"/>
  <c r="I1415" i="5"/>
  <c r="L907" i="5"/>
  <c r="I907" i="5"/>
  <c r="L106" i="5"/>
  <c r="I106" i="5"/>
  <c r="L1627" i="5"/>
  <c r="I1627" i="5"/>
  <c r="L172" i="5"/>
  <c r="J172" i="5"/>
  <c r="I172" i="5"/>
  <c r="L1618" i="5"/>
  <c r="I1618" i="5"/>
  <c r="L11" i="5"/>
  <c r="J11" i="5"/>
  <c r="I11" i="5"/>
  <c r="L27" i="5"/>
  <c r="J27" i="5"/>
  <c r="I27" i="5"/>
  <c r="L1282" i="5"/>
  <c r="J1282" i="5"/>
  <c r="I1282" i="5"/>
  <c r="L372" i="5"/>
  <c r="I372" i="5"/>
  <c r="L1245" i="5"/>
  <c r="I1245" i="5"/>
  <c r="L1659" i="5"/>
  <c r="J1659" i="5"/>
  <c r="I1659" i="5"/>
  <c r="L1063" i="5"/>
  <c r="J1063" i="5"/>
  <c r="I1063" i="5"/>
  <c r="L312" i="5"/>
  <c r="J312" i="5"/>
  <c r="I312" i="5"/>
  <c r="L1142" i="5"/>
  <c r="J1142" i="5"/>
  <c r="I1142" i="5"/>
  <c r="L483" i="5"/>
  <c r="J483" i="5"/>
  <c r="I483" i="5"/>
  <c r="L1614" i="5"/>
  <c r="I1614" i="5"/>
  <c r="L602" i="5"/>
  <c r="J602" i="5"/>
  <c r="I602" i="5"/>
  <c r="L788" i="5"/>
  <c r="I788" i="5"/>
  <c r="L1715" i="5"/>
  <c r="J1715" i="5"/>
  <c r="I1715" i="5"/>
  <c r="L1269" i="5"/>
  <c r="J1269" i="5"/>
  <c r="I1269" i="5"/>
  <c r="L527" i="5"/>
  <c r="J527" i="5"/>
  <c r="I527" i="5"/>
  <c r="L217" i="5"/>
  <c r="J217" i="5"/>
  <c r="I217" i="5"/>
  <c r="L1345" i="5"/>
  <c r="J1345" i="5"/>
  <c r="I1345" i="5"/>
  <c r="L1286" i="5"/>
  <c r="J1286" i="5"/>
  <c r="I1286" i="5"/>
  <c r="L1165" i="5"/>
  <c r="J1165" i="5"/>
  <c r="I1165" i="5"/>
  <c r="L816" i="5"/>
  <c r="J816" i="5"/>
  <c r="I816" i="5"/>
  <c r="L962" i="5"/>
  <c r="I962" i="5"/>
  <c r="L1594" i="5"/>
  <c r="J1594" i="5"/>
  <c r="I1594" i="5"/>
  <c r="L29" i="5"/>
  <c r="J29" i="5"/>
  <c r="I29" i="5"/>
  <c r="L1335" i="5"/>
  <c r="J1335" i="5"/>
  <c r="I1335" i="5"/>
  <c r="L1094" i="5"/>
  <c r="J1094" i="5"/>
  <c r="I1094" i="5"/>
  <c r="L284" i="5"/>
  <c r="J284" i="5"/>
  <c r="I284" i="5"/>
  <c r="L477" i="5"/>
  <c r="J477" i="5"/>
  <c r="I477" i="5"/>
  <c r="J1630" i="5"/>
  <c r="I1630" i="5"/>
  <c r="L242" i="5"/>
  <c r="J242" i="5"/>
  <c r="I242" i="5"/>
  <c r="L1255" i="5"/>
  <c r="J1255" i="5"/>
  <c r="I1255" i="5"/>
  <c r="L1760" i="5"/>
  <c r="J1760" i="5"/>
  <c r="I1760" i="5"/>
  <c r="J1385" i="5"/>
  <c r="I1385" i="5"/>
  <c r="L526" i="5"/>
  <c r="J526" i="5"/>
  <c r="I526" i="5"/>
  <c r="L965" i="5"/>
  <c r="J965" i="5"/>
  <c r="I965" i="5"/>
  <c r="L1582" i="5"/>
  <c r="J1582" i="5"/>
  <c r="I1582" i="5"/>
  <c r="L918" i="5"/>
  <c r="L1183" i="5"/>
  <c r="J1183" i="5"/>
  <c r="I1183" i="5"/>
  <c r="L1374" i="5"/>
  <c r="J1374" i="5"/>
  <c r="I1374" i="5"/>
  <c r="L63" i="5"/>
  <c r="J63" i="5"/>
  <c r="I63" i="5"/>
  <c r="L1738" i="5"/>
  <c r="J1738" i="5"/>
  <c r="I1738" i="5"/>
  <c r="L1725" i="5"/>
  <c r="J1725" i="5"/>
  <c r="I1725" i="5"/>
  <c r="L75" i="5"/>
  <c r="J75" i="5"/>
  <c r="I75" i="5"/>
  <c r="L1149" i="5"/>
  <c r="J1149" i="5"/>
  <c r="I1149" i="5"/>
  <c r="L1444" i="5"/>
  <c r="J1444" i="5"/>
  <c r="I1444" i="5"/>
  <c r="L650" i="5"/>
  <c r="J650" i="5"/>
  <c r="I650" i="5"/>
  <c r="J4" i="5"/>
  <c r="I4" i="5"/>
  <c r="L342" i="5"/>
  <c r="J342" i="5"/>
  <c r="I342" i="5"/>
  <c r="L521" i="5"/>
  <c r="J521" i="5"/>
  <c r="I521" i="5"/>
  <c r="L1470" i="5"/>
  <c r="J1470" i="5"/>
  <c r="I1470" i="5"/>
  <c r="L414" i="5"/>
  <c r="J414" i="5"/>
  <c r="I414" i="5"/>
  <c r="L798" i="5"/>
  <c r="J798" i="5"/>
  <c r="I798" i="5"/>
  <c r="L227" i="5"/>
  <c r="J227" i="5"/>
  <c r="I227" i="5"/>
  <c r="L609" i="5"/>
  <c r="J609" i="5"/>
  <c r="I609" i="5"/>
  <c r="L725" i="5"/>
  <c r="J725" i="5"/>
  <c r="I725" i="5"/>
  <c r="L829" i="5"/>
  <c r="J829" i="5"/>
  <c r="I829" i="5"/>
  <c r="L456" i="5"/>
  <c r="J456" i="5"/>
  <c r="I456" i="5"/>
  <c r="L241" i="5"/>
  <c r="J241" i="5"/>
  <c r="I241" i="5"/>
  <c r="L1247" i="5"/>
  <c r="J1247" i="5"/>
  <c r="I1247" i="5"/>
  <c r="L33" i="5"/>
  <c r="J33" i="5"/>
  <c r="I33" i="5"/>
  <c r="L913" i="5"/>
  <c r="J913" i="5"/>
  <c r="I913" i="5"/>
  <c r="L157" i="5"/>
  <c r="J157" i="5"/>
  <c r="I157" i="5"/>
  <c r="L23" i="5"/>
  <c r="J23" i="5"/>
  <c r="I23" i="5"/>
  <c r="L167" i="5"/>
  <c r="J167" i="5"/>
  <c r="I167" i="5"/>
  <c r="L740" i="5"/>
  <c r="J740" i="5"/>
  <c r="I740" i="5"/>
  <c r="L12" i="5"/>
  <c r="J12" i="5"/>
  <c r="I12" i="5"/>
  <c r="L461" i="5"/>
  <c r="J461" i="5"/>
  <c r="I461" i="5"/>
  <c r="L91" i="5"/>
  <c r="J91" i="5"/>
  <c r="I91" i="5"/>
  <c r="L1353" i="5"/>
  <c r="J1353" i="5"/>
  <c r="I1353" i="5"/>
  <c r="L1020" i="5"/>
  <c r="J1020" i="5"/>
  <c r="I1020" i="5"/>
  <c r="L1570" i="5"/>
  <c r="J1570" i="5"/>
  <c r="I1570" i="5"/>
  <c r="L97" i="5"/>
  <c r="J97" i="5"/>
  <c r="I97" i="5"/>
  <c r="L1534" i="5"/>
  <c r="J1534" i="5"/>
  <c r="I1534" i="5"/>
  <c r="L1150" i="5"/>
  <c r="J1150" i="5"/>
  <c r="I1150" i="5"/>
  <c r="L1067" i="5"/>
  <c r="J1067" i="5"/>
  <c r="I1067" i="5"/>
  <c r="L273" i="5"/>
  <c r="J273" i="5"/>
  <c r="I273" i="5"/>
  <c r="L654" i="5"/>
  <c r="J654" i="5"/>
  <c r="I654" i="5"/>
  <c r="L653" i="5"/>
  <c r="J653" i="5"/>
  <c r="I653" i="5"/>
  <c r="L1559" i="5"/>
  <c r="J1559" i="5"/>
  <c r="I1559" i="5"/>
  <c r="L848" i="5"/>
  <c r="J848" i="5"/>
  <c r="I848" i="5"/>
  <c r="L687" i="5"/>
  <c r="J687" i="5"/>
  <c r="I687" i="5"/>
  <c r="L1387" i="5"/>
  <c r="J1387" i="5"/>
  <c r="I1387" i="5"/>
  <c r="L1418" i="5"/>
  <c r="J1418" i="5"/>
  <c r="I1418" i="5"/>
  <c r="L474" i="5"/>
  <c r="I474" i="5"/>
  <c r="L1451" i="5"/>
  <c r="J1451" i="5"/>
  <c r="I1451" i="5"/>
  <c r="L1129" i="5"/>
  <c r="J1129" i="5"/>
  <c r="I1129" i="5"/>
  <c r="L587" i="5"/>
  <c r="J587" i="5"/>
  <c r="I587" i="5"/>
  <c r="L977" i="5"/>
  <c r="J977" i="5"/>
  <c r="I977" i="5"/>
  <c r="L1455" i="5"/>
  <c r="J1455" i="5"/>
  <c r="I1455" i="5"/>
  <c r="L796" i="5"/>
  <c r="J796" i="5"/>
  <c r="I796" i="5"/>
  <c r="L150" i="5"/>
  <c r="J150" i="5"/>
  <c r="I150" i="5"/>
  <c r="L1709" i="5"/>
  <c r="J1709" i="5"/>
  <c r="I1709" i="5"/>
  <c r="L885" i="5"/>
  <c r="J885" i="5"/>
  <c r="I885" i="5"/>
  <c r="L1528" i="5"/>
  <c r="J1528" i="5"/>
  <c r="I1528" i="5"/>
  <c r="L934" i="5"/>
  <c r="J934" i="5"/>
  <c r="I934" i="5"/>
  <c r="L225" i="5"/>
  <c r="J225" i="5"/>
  <c r="I225" i="5"/>
  <c r="L437" i="5"/>
  <c r="J437" i="5"/>
  <c r="I437" i="5"/>
  <c r="L888" i="5"/>
  <c r="J888" i="5"/>
  <c r="I888" i="5"/>
  <c r="L68" i="5"/>
  <c r="J68" i="5"/>
  <c r="I68" i="5"/>
  <c r="L1765" i="5"/>
  <c r="J1765" i="5"/>
  <c r="I1765" i="5"/>
  <c r="L198" i="5"/>
  <c r="J198" i="5"/>
  <c r="I198" i="5"/>
  <c r="L1583" i="5"/>
  <c r="J1583" i="5"/>
  <c r="I1583" i="5"/>
  <c r="L1555" i="5"/>
  <c r="I1555" i="5"/>
  <c r="L1323" i="5"/>
  <c r="J1323" i="5"/>
  <c r="I1323" i="5"/>
  <c r="L1199" i="5"/>
  <c r="J1199" i="5"/>
  <c r="I1199" i="5"/>
  <c r="L591" i="5"/>
  <c r="J591" i="5"/>
  <c r="I591" i="5"/>
  <c r="L354" i="5"/>
  <c r="J354" i="5"/>
  <c r="I354" i="5"/>
  <c r="L940" i="5"/>
  <c r="J940" i="5"/>
  <c r="I940" i="5"/>
  <c r="L549" i="5"/>
  <c r="J549" i="5"/>
  <c r="I549" i="5"/>
  <c r="L186" i="5"/>
  <c r="J186" i="5"/>
  <c r="I186" i="5"/>
  <c r="L195" i="5"/>
  <c r="J195" i="5"/>
  <c r="I195" i="5"/>
  <c r="L904" i="5"/>
  <c r="J904" i="5"/>
  <c r="I904" i="5"/>
  <c r="L1299" i="5"/>
  <c r="J1299" i="5"/>
  <c r="I1299" i="5"/>
  <c r="L1137" i="5"/>
  <c r="J1137" i="5"/>
  <c r="I1137" i="5"/>
  <c r="L952" i="5"/>
  <c r="I952" i="5"/>
  <c r="L1349" i="5"/>
  <c r="J1349" i="5"/>
  <c r="I1349" i="5"/>
  <c r="L368" i="5"/>
  <c r="J368" i="5"/>
  <c r="I368" i="5"/>
  <c r="L228" i="5"/>
  <c r="J228" i="5"/>
  <c r="I228" i="5"/>
  <c r="L973" i="5"/>
  <c r="J973" i="5"/>
  <c r="I973" i="5"/>
  <c r="L1591" i="5"/>
  <c r="J1591" i="5"/>
  <c r="I1591" i="5"/>
  <c r="L794" i="5"/>
  <c r="J794" i="5"/>
  <c r="I794" i="5"/>
  <c r="L26" i="5"/>
  <c r="J26" i="5"/>
  <c r="I26" i="5"/>
  <c r="L791" i="5"/>
  <c r="I791" i="5"/>
  <c r="L1773" i="5"/>
  <c r="I1773" i="5"/>
  <c r="L1642" i="5"/>
  <c r="J1642" i="5"/>
  <c r="I1642" i="5"/>
  <c r="L1567" i="5"/>
  <c r="I1567" i="5"/>
  <c r="L251" i="5"/>
  <c r="J251" i="5"/>
  <c r="I251" i="5"/>
  <c r="L1625" i="5"/>
  <c r="L989" i="5"/>
  <c r="I989" i="5"/>
  <c r="L279" i="5"/>
  <c r="I279" i="5"/>
  <c r="L1489" i="5"/>
  <c r="I1489" i="5"/>
  <c r="L1013" i="5"/>
  <c r="J1013" i="5"/>
  <c r="I1013" i="5"/>
  <c r="L1271" i="5"/>
  <c r="I1271" i="5"/>
  <c r="L1372" i="5"/>
  <c r="J1372" i="5"/>
  <c r="I1372" i="5"/>
  <c r="L533" i="5"/>
  <c r="I533" i="5"/>
  <c r="L1384" i="5"/>
  <c r="J1384" i="5"/>
  <c r="I1384" i="5"/>
  <c r="L1355" i="5"/>
  <c r="J1355" i="5"/>
  <c r="I1355" i="5"/>
  <c r="L1442" i="5"/>
  <c r="I1442" i="5"/>
  <c r="L1154" i="5"/>
  <c r="I1154" i="5"/>
  <c r="L886" i="5"/>
  <c r="I886" i="5"/>
  <c r="L644" i="5"/>
  <c r="J644" i="5"/>
  <c r="I644" i="5"/>
  <c r="L552" i="5"/>
  <c r="J552" i="5"/>
  <c r="I552" i="5"/>
  <c r="L179" i="5"/>
  <c r="J179" i="5"/>
  <c r="I179" i="5"/>
  <c r="L804" i="5"/>
  <c r="L979" i="5"/>
  <c r="J979" i="5"/>
  <c r="I979" i="5"/>
  <c r="L851" i="5"/>
  <c r="J851" i="5"/>
  <c r="I851" i="5"/>
  <c r="L627" i="5"/>
  <c r="J627" i="5"/>
  <c r="I627" i="5"/>
  <c r="L1161" i="5"/>
  <c r="J1161" i="5"/>
  <c r="I1161" i="5"/>
  <c r="L1167" i="5"/>
  <c r="J1167" i="5"/>
  <c r="I1167" i="5"/>
  <c r="L960" i="5"/>
  <c r="L383" i="5"/>
  <c r="J383" i="5"/>
  <c r="I383" i="5"/>
  <c r="L1688" i="5"/>
  <c r="J1688" i="5"/>
  <c r="I1688" i="5"/>
  <c r="L1742" i="5"/>
  <c r="J1742" i="5"/>
  <c r="I1742" i="5"/>
  <c r="L446" i="5"/>
  <c r="J446" i="5"/>
  <c r="I446" i="5"/>
  <c r="L562" i="5"/>
  <c r="J562" i="5"/>
  <c r="I562" i="5"/>
  <c r="L1108" i="5"/>
  <c r="J1108" i="5"/>
  <c r="I1108" i="5"/>
  <c r="J1134" i="5"/>
  <c r="I1134" i="5"/>
  <c r="L160" i="5"/>
  <c r="J160" i="5"/>
  <c r="I160" i="5"/>
  <c r="L669" i="5"/>
  <c r="J669" i="5"/>
  <c r="I669" i="5"/>
  <c r="L112" i="5"/>
  <c r="J112" i="5"/>
  <c r="I112" i="5"/>
  <c r="L1114" i="5"/>
  <c r="J1114" i="5"/>
  <c r="I1114" i="5"/>
  <c r="L1751" i="5"/>
  <c r="J1751" i="5"/>
  <c r="I1751" i="5"/>
  <c r="L404" i="5"/>
  <c r="I404" i="5"/>
  <c r="L767" i="5"/>
  <c r="J767" i="5"/>
  <c r="I767" i="5"/>
  <c r="L1665" i="5"/>
  <c r="I1665" i="5"/>
  <c r="L1367" i="5"/>
  <c r="J1367" i="5"/>
  <c r="I1367" i="5"/>
  <c r="L896" i="5"/>
  <c r="I896" i="5"/>
  <c r="L100" i="5"/>
  <c r="J100" i="5"/>
  <c r="I100" i="5"/>
  <c r="L1091" i="5"/>
  <c r="J1091" i="5"/>
  <c r="I1091" i="5"/>
  <c r="L56" i="5"/>
  <c r="J56" i="5"/>
  <c r="I56" i="5"/>
  <c r="L1657" i="5"/>
  <c r="I1657" i="5"/>
  <c r="L1268" i="5"/>
  <c r="I1268" i="5"/>
  <c r="L1346" i="5"/>
  <c r="J1346" i="5"/>
  <c r="I1346" i="5"/>
  <c r="L696" i="5"/>
  <c r="J696" i="5"/>
  <c r="I696" i="5"/>
  <c r="L718" i="5"/>
  <c r="J718" i="5"/>
  <c r="I718" i="5"/>
  <c r="L1112" i="5"/>
  <c r="J1112" i="5"/>
  <c r="I1112" i="5"/>
  <c r="L363" i="5"/>
  <c r="J363" i="5"/>
  <c r="I363" i="5"/>
  <c r="L7" i="5"/>
  <c r="J7" i="5"/>
  <c r="I7" i="5"/>
  <c r="L682" i="5"/>
  <c r="J682" i="5"/>
  <c r="I682" i="5"/>
  <c r="L891" i="5"/>
  <c r="L852" i="5"/>
  <c r="J852" i="5"/>
  <c r="I852" i="5"/>
  <c r="L1174" i="5"/>
  <c r="J1174" i="5"/>
  <c r="I1174" i="5"/>
  <c r="L86" i="5"/>
  <c r="J86" i="5"/>
  <c r="I86" i="5"/>
  <c r="L1014" i="5"/>
  <c r="I1014" i="5"/>
  <c r="L646" i="5"/>
  <c r="J646" i="5"/>
  <c r="I646" i="5"/>
  <c r="L164" i="5"/>
  <c r="I164" i="5"/>
  <c r="L448" i="5"/>
  <c r="J448" i="5"/>
  <c r="I448" i="5"/>
  <c r="L1260" i="5"/>
  <c r="I1260" i="5"/>
  <c r="L364" i="5"/>
  <c r="J364" i="5"/>
  <c r="I364" i="5"/>
  <c r="L430" i="5"/>
  <c r="J430" i="5"/>
  <c r="I430" i="5"/>
  <c r="L828" i="5"/>
  <c r="I828" i="5"/>
  <c r="L762" i="5"/>
  <c r="I762" i="5"/>
  <c r="L1668" i="5"/>
  <c r="I1668" i="5"/>
  <c r="L585" i="5"/>
  <c r="J585" i="5"/>
  <c r="I585" i="5"/>
  <c r="L1192" i="5"/>
  <c r="I1192" i="5"/>
  <c r="L815" i="5"/>
  <c r="I815" i="5"/>
  <c r="L340" i="5"/>
  <c r="J340" i="5"/>
  <c r="I340" i="5"/>
  <c r="L1070" i="5"/>
  <c r="J1070" i="5"/>
  <c r="I1070" i="5"/>
  <c r="L789" i="5"/>
  <c r="J789" i="5"/>
  <c r="I789" i="5"/>
  <c r="L120" i="5"/>
  <c r="I120" i="5"/>
  <c r="L14" i="5"/>
  <c r="J14" i="5"/>
  <c r="I14" i="5"/>
  <c r="L601" i="5"/>
  <c r="J601" i="5"/>
  <c r="I601" i="5"/>
  <c r="L480" i="5"/>
  <c r="J480" i="5"/>
  <c r="I480" i="5"/>
  <c r="L1531" i="5"/>
  <c r="J1531" i="5"/>
  <c r="I1531" i="5"/>
  <c r="L1213" i="5"/>
  <c r="J1213" i="5"/>
  <c r="I1213" i="5"/>
  <c r="L358" i="5"/>
  <c r="J358" i="5"/>
  <c r="I358" i="5"/>
  <c r="L215" i="5"/>
  <c r="I215" i="5"/>
  <c r="L709" i="5"/>
  <c r="J709" i="5"/>
  <c r="I709" i="5"/>
  <c r="L147" i="5"/>
  <c r="I147" i="5"/>
  <c r="L1236" i="5"/>
  <c r="J1236" i="5"/>
  <c r="I1236" i="5"/>
  <c r="L1382" i="5"/>
  <c r="I1382" i="5"/>
  <c r="L720" i="5"/>
  <c r="I720" i="5"/>
  <c r="L557" i="5"/>
  <c r="J557" i="5"/>
  <c r="I557" i="5"/>
  <c r="L1261" i="5"/>
  <c r="I1261" i="5"/>
  <c r="L205" i="5"/>
  <c r="I205" i="5"/>
  <c r="L189" i="5"/>
  <c r="I189" i="5"/>
  <c r="L1021" i="5"/>
  <c r="I1021" i="5"/>
  <c r="L444" i="5"/>
  <c r="I444" i="5"/>
  <c r="L214" i="5"/>
  <c r="J214" i="5"/>
  <c r="I214" i="5"/>
  <c r="L465" i="5"/>
  <c r="J465" i="5"/>
  <c r="I465" i="5"/>
  <c r="L1157" i="5"/>
  <c r="I1157" i="5"/>
  <c r="L540" i="5"/>
  <c r="J540" i="5"/>
  <c r="I540" i="5"/>
  <c r="L1175" i="5"/>
  <c r="I1175" i="5"/>
  <c r="L1572" i="5"/>
  <c r="I1572" i="5"/>
  <c r="L514" i="5"/>
  <c r="J514" i="5"/>
  <c r="I514" i="5"/>
  <c r="L1639" i="5"/>
  <c r="J1639" i="5"/>
  <c r="I1639" i="5"/>
  <c r="L65" i="5"/>
  <c r="J65" i="5"/>
  <c r="I65" i="5"/>
  <c r="L1381" i="5"/>
  <c r="J1381" i="5"/>
  <c r="I1381" i="5"/>
  <c r="L1671" i="5"/>
  <c r="J1671" i="5"/>
  <c r="I1671" i="5"/>
  <c r="L1513" i="5"/>
  <c r="J1513" i="5"/>
  <c r="I1513" i="5"/>
  <c r="L1504" i="5"/>
  <c r="J1504" i="5"/>
  <c r="I1504" i="5"/>
  <c r="L488" i="5"/>
  <c r="J488" i="5"/>
  <c r="I488" i="5"/>
  <c r="L203" i="5"/>
  <c r="J203" i="5"/>
  <c r="I203" i="5"/>
  <c r="L605" i="5"/>
  <c r="J605" i="5"/>
  <c r="I605" i="5"/>
  <c r="L1587" i="5"/>
  <c r="I1587" i="5"/>
  <c r="L544" i="5"/>
  <c r="J544" i="5"/>
  <c r="I544" i="5"/>
  <c r="L374" i="5"/>
  <c r="J374" i="5"/>
  <c r="I374" i="5"/>
  <c r="L845" i="5"/>
  <c r="I845" i="5"/>
  <c r="L992" i="5"/>
  <c r="J992" i="5"/>
  <c r="I992" i="5"/>
  <c r="L1230" i="5"/>
  <c r="I1230" i="5"/>
  <c r="L1394" i="5"/>
  <c r="I1394" i="5"/>
  <c r="L1358" i="5"/>
  <c r="J1358" i="5"/>
  <c r="I1358" i="5"/>
  <c r="L94" i="5"/>
  <c r="I94" i="5"/>
  <c r="L338" i="5"/>
  <c r="J338" i="5"/>
  <c r="I338" i="5"/>
  <c r="L70" i="5"/>
  <c r="I70" i="5"/>
  <c r="L311" i="5"/>
  <c r="J311" i="5"/>
  <c r="I311" i="5"/>
  <c r="L763" i="5"/>
  <c r="J763" i="5"/>
  <c r="I763" i="5"/>
  <c r="L196" i="5"/>
  <c r="J196" i="5"/>
  <c r="I196" i="5"/>
  <c r="L1480" i="5"/>
  <c r="L1395" i="5"/>
  <c r="J1395" i="5"/>
  <c r="I1395" i="5"/>
  <c r="L912" i="5"/>
  <c r="I912" i="5"/>
  <c r="L809" i="5"/>
  <c r="I809" i="5"/>
  <c r="L330" i="5"/>
  <c r="J330" i="5"/>
  <c r="I330" i="5"/>
  <c r="L925" i="5"/>
  <c r="J925" i="5"/>
  <c r="I925" i="5"/>
  <c r="L1450" i="5"/>
  <c r="J1450" i="5"/>
  <c r="I1450" i="5"/>
  <c r="L1060" i="5"/>
  <c r="J1060" i="5"/>
  <c r="I1060" i="5"/>
  <c r="L1205" i="5"/>
  <c r="J1205" i="5"/>
  <c r="I1205" i="5"/>
  <c r="L897" i="5"/>
  <c r="J897" i="5"/>
  <c r="I897" i="5"/>
  <c r="L1743" i="5"/>
  <c r="J1743" i="5"/>
  <c r="I1743" i="5"/>
  <c r="L1329" i="5"/>
  <c r="L1641" i="5"/>
  <c r="I1641" i="5"/>
  <c r="L290" i="5"/>
  <c r="J290" i="5"/>
  <c r="I290" i="5"/>
  <c r="L293" i="5"/>
  <c r="J293" i="5"/>
  <c r="I293" i="5"/>
  <c r="L642" i="5"/>
  <c r="J642" i="5"/>
  <c r="I642" i="5"/>
  <c r="L1083" i="5"/>
  <c r="I1083" i="5"/>
  <c r="L1660" i="5"/>
  <c r="J1660" i="5"/>
  <c r="I1660" i="5"/>
  <c r="L869" i="5"/>
  <c r="J869" i="5"/>
  <c r="I869" i="5"/>
  <c r="L793" i="5"/>
  <c r="I793" i="5"/>
  <c r="L971" i="5"/>
  <c r="J971" i="5"/>
  <c r="I971" i="5"/>
  <c r="L570" i="5"/>
  <c r="J570" i="5"/>
  <c r="I570" i="5"/>
  <c r="L114" i="5"/>
  <c r="J114" i="5"/>
  <c r="I114" i="5"/>
  <c r="L1584" i="5"/>
  <c r="J1584" i="5"/>
  <c r="I1584" i="5"/>
  <c r="L499" i="5"/>
  <c r="J499" i="5"/>
  <c r="I499" i="5"/>
  <c r="L154" i="5"/>
  <c r="J154" i="5"/>
  <c r="I154" i="5"/>
  <c r="L303" i="5"/>
  <c r="I303" i="5"/>
  <c r="L524" i="5"/>
  <c r="J524" i="5"/>
  <c r="I524" i="5"/>
  <c r="L626" i="5"/>
  <c r="J626" i="5"/>
  <c r="I626" i="5"/>
  <c r="L1209" i="5"/>
  <c r="J1209" i="5"/>
  <c r="I1209" i="5"/>
  <c r="L956" i="5"/>
  <c r="J956" i="5"/>
  <c r="I956" i="5"/>
  <c r="L1529" i="5"/>
  <c r="J1529" i="5"/>
  <c r="I1529" i="5"/>
  <c r="L268" i="5"/>
  <c r="I268" i="5"/>
  <c r="L993" i="5"/>
  <c r="J993" i="5"/>
  <c r="I993" i="5"/>
  <c r="L1496" i="5"/>
  <c r="I1496" i="5"/>
  <c r="L1058" i="5"/>
  <c r="J1058" i="5"/>
  <c r="I1058" i="5"/>
  <c r="L1059" i="5"/>
  <c r="J1059" i="5"/>
  <c r="I1059" i="5"/>
  <c r="L148" i="5"/>
  <c r="J148" i="5"/>
  <c r="I148" i="5"/>
  <c r="L607" i="5"/>
  <c r="J607" i="5"/>
  <c r="I607" i="5"/>
  <c r="L442" i="5"/>
  <c r="J442" i="5"/>
  <c r="I442" i="5"/>
  <c r="L394" i="5"/>
  <c r="I394" i="5"/>
  <c r="L118" i="5"/>
  <c r="J118" i="5"/>
  <c r="I118" i="5"/>
  <c r="L534" i="5"/>
  <c r="I534" i="5"/>
  <c r="L1565" i="5"/>
  <c r="J1565" i="5"/>
  <c r="I1565" i="5"/>
  <c r="L1027" i="5"/>
  <c r="J1027" i="5"/>
  <c r="I1027" i="5"/>
  <c r="L1333" i="5"/>
  <c r="J1333" i="5"/>
  <c r="I1333" i="5"/>
  <c r="L101" i="5"/>
  <c r="J101" i="5"/>
  <c r="I101" i="5"/>
  <c r="L729" i="5"/>
  <c r="I729" i="5"/>
  <c r="L320" i="5"/>
  <c r="J320" i="5"/>
  <c r="I320" i="5"/>
  <c r="L865" i="5"/>
  <c r="J865" i="5"/>
  <c r="I865" i="5"/>
  <c r="L883" i="5"/>
  <c r="I883" i="5"/>
  <c r="L1123" i="5"/>
  <c r="I1123" i="5"/>
  <c r="L700" i="5"/>
  <c r="J700" i="5"/>
  <c r="I700" i="5"/>
  <c r="L1300" i="5"/>
  <c r="J1300" i="5"/>
  <c r="I1300" i="5"/>
  <c r="L152" i="5"/>
  <c r="J152" i="5"/>
  <c r="I152" i="5"/>
  <c r="L1120" i="5"/>
  <c r="J1120" i="5"/>
  <c r="I1120" i="5"/>
  <c r="L1217" i="5"/>
  <c r="J1217" i="5"/>
  <c r="I1217" i="5"/>
  <c r="L1441" i="5"/>
  <c r="I1441" i="5"/>
  <c r="L277" i="5"/>
  <c r="I277" i="5"/>
  <c r="L115" i="5"/>
  <c r="J115" i="5"/>
  <c r="I115" i="5"/>
  <c r="L630" i="5"/>
  <c r="J630" i="5"/>
  <c r="I630" i="5"/>
  <c r="L304" i="5"/>
  <c r="I304" i="5"/>
  <c r="L939" i="5"/>
  <c r="L326" i="5"/>
  <c r="J326" i="5"/>
  <c r="I326" i="5"/>
  <c r="L462" i="5"/>
  <c r="J462" i="5"/>
  <c r="I462" i="5"/>
  <c r="L1413" i="5"/>
  <c r="L1674" i="5"/>
  <c r="J1674" i="5"/>
  <c r="I1674" i="5"/>
  <c r="L846" i="5"/>
  <c r="J846" i="5"/>
  <c r="I846" i="5"/>
  <c r="L678" i="5"/>
  <c r="I678" i="5"/>
  <c r="L1224" i="5"/>
  <c r="I1224" i="5"/>
  <c r="L1200" i="5"/>
  <c r="J1200" i="5"/>
  <c r="I1200" i="5"/>
  <c r="L209" i="5"/>
  <c r="J209" i="5"/>
  <c r="I209" i="5"/>
  <c r="L877" i="5"/>
  <c r="J877" i="5"/>
  <c r="I877" i="5"/>
  <c r="L711" i="5"/>
  <c r="J711" i="5"/>
  <c r="I711" i="5"/>
  <c r="L666" i="5"/>
  <c r="J666" i="5"/>
  <c r="I666" i="5"/>
  <c r="L1421" i="5"/>
  <c r="J1421" i="5"/>
  <c r="I1421" i="5"/>
  <c r="L260" i="5"/>
  <c r="J260" i="5"/>
  <c r="I260" i="5"/>
  <c r="L237" i="5"/>
  <c r="I237" i="5"/>
  <c r="L388" i="5"/>
  <c r="J388" i="5"/>
  <c r="I388" i="5"/>
  <c r="L909" i="5"/>
  <c r="J909" i="5"/>
  <c r="I909" i="5"/>
  <c r="L716" i="5"/>
  <c r="J716" i="5"/>
  <c r="I716" i="5"/>
  <c r="L267" i="5"/>
  <c r="I267" i="5"/>
  <c r="L1373" i="5"/>
  <c r="J1373" i="5"/>
  <c r="I1373" i="5"/>
  <c r="J662" i="5"/>
  <c r="I662" i="5"/>
  <c r="L539" i="5"/>
  <c r="I539" i="5"/>
  <c r="L1458" i="5"/>
  <c r="I1458" i="5"/>
  <c r="L1218" i="5"/>
  <c r="I1218" i="5"/>
  <c r="L629" i="5"/>
  <c r="I629" i="5"/>
  <c r="L1501" i="5"/>
  <c r="I1501" i="5"/>
  <c r="L661" i="5"/>
  <c r="J661" i="5"/>
  <c r="I661" i="5"/>
  <c r="L476" i="5"/>
  <c r="J476" i="5"/>
  <c r="I476" i="5"/>
  <c r="L786" i="5"/>
  <c r="J786" i="5"/>
  <c r="I786" i="5"/>
  <c r="L854" i="5"/>
  <c r="I854" i="5"/>
  <c r="L1327" i="5"/>
  <c r="J1327" i="5"/>
  <c r="I1327" i="5"/>
  <c r="L341" i="5"/>
  <c r="I341" i="5"/>
  <c r="L1077" i="5"/>
  <c r="J1077" i="5"/>
  <c r="I1077" i="5"/>
  <c r="L633" i="5"/>
  <c r="I633" i="5"/>
  <c r="L1007" i="5"/>
  <c r="J1007" i="5"/>
  <c r="I1007" i="5"/>
  <c r="L1360" i="5"/>
  <c r="J1360" i="5"/>
  <c r="I1360" i="5"/>
  <c r="I1147" i="5"/>
  <c r="L758" i="5"/>
  <c r="J758" i="5"/>
  <c r="I758" i="5"/>
  <c r="L1312" i="5"/>
  <c r="J1312" i="5"/>
  <c r="I1312" i="5"/>
  <c r="L806" i="5"/>
  <c r="J806" i="5"/>
  <c r="I806" i="5"/>
  <c r="L58" i="5"/>
  <c r="J58" i="5"/>
  <c r="I58" i="5"/>
  <c r="L213" i="5"/>
  <c r="J213" i="5"/>
  <c r="I213" i="5"/>
  <c r="L1315" i="5"/>
  <c r="J1315" i="5"/>
  <c r="I1315" i="5"/>
  <c r="L1130" i="5"/>
  <c r="J1130" i="5"/>
  <c r="I1130" i="5"/>
  <c r="L1204" i="5"/>
  <c r="I1204" i="5"/>
  <c r="L812" i="5"/>
  <c r="I812" i="5"/>
  <c r="J42" i="5"/>
  <c r="I42" i="5"/>
  <c r="L1328" i="5"/>
  <c r="J1328" i="5"/>
  <c r="I1328" i="5"/>
  <c r="L617" i="5"/>
  <c r="J617" i="5"/>
  <c r="I617" i="5"/>
  <c r="L505" i="5"/>
  <c r="I505" i="5"/>
  <c r="L1392" i="5"/>
  <c r="I1392" i="5"/>
  <c r="L1207" i="5"/>
  <c r="J1207" i="5"/>
  <c r="I1207" i="5"/>
  <c r="L35" i="5"/>
  <c r="I35" i="5"/>
  <c r="L174" i="5"/>
  <c r="I174" i="5"/>
  <c r="L1369" i="5"/>
  <c r="J1369" i="5"/>
  <c r="I1369" i="5"/>
  <c r="L1414" i="5"/>
  <c r="J1414" i="5"/>
  <c r="I1414" i="5"/>
  <c r="L1187" i="5"/>
  <c r="J1187" i="5"/>
  <c r="I1187" i="5"/>
  <c r="L256" i="5"/>
  <c r="J256" i="5"/>
  <c r="I256" i="5"/>
  <c r="L306" i="5"/>
  <c r="I306" i="5"/>
  <c r="L759" i="5"/>
  <c r="J759" i="5"/>
  <c r="I759" i="5"/>
  <c r="L656" i="5"/>
  <c r="J656" i="5"/>
  <c r="I656" i="5"/>
  <c r="L1068" i="5"/>
  <c r="J1068" i="5"/>
  <c r="I1068" i="5"/>
  <c r="L204" i="5"/>
  <c r="J204" i="5"/>
  <c r="I204" i="5"/>
  <c r="L1526" i="5"/>
  <c r="I1526" i="5"/>
  <c r="L1254" i="5"/>
  <c r="J1254" i="5"/>
  <c r="I1254" i="5"/>
  <c r="L1412" i="5"/>
  <c r="J1412" i="5"/>
  <c r="I1412" i="5"/>
  <c r="L1079" i="5"/>
  <c r="I1079" i="5"/>
  <c r="L1097" i="5"/>
  <c r="J1097" i="5"/>
  <c r="I1097" i="5"/>
  <c r="L1138" i="5"/>
  <c r="J1138" i="5"/>
  <c r="I1138" i="5"/>
  <c r="L1546" i="5"/>
  <c r="I1546" i="5"/>
  <c r="L469" i="5"/>
  <c r="L578" i="5"/>
  <c r="J578" i="5"/>
  <c r="I578" i="5"/>
  <c r="L263" i="5"/>
  <c r="J263" i="5"/>
  <c r="I263" i="5"/>
  <c r="L1298" i="5"/>
  <c r="I1298" i="5"/>
  <c r="L1482" i="5"/>
  <c r="J1482" i="5"/>
  <c r="I1482" i="5"/>
  <c r="L697" i="5"/>
  <c r="I697" i="5"/>
  <c r="L849" i="5"/>
  <c r="J849" i="5"/>
  <c r="I849" i="5"/>
  <c r="L951" i="5"/>
  <c r="J951" i="5"/>
  <c r="I951" i="5"/>
  <c r="L611" i="5"/>
  <c r="I611" i="5"/>
  <c r="L649" i="5"/>
  <c r="J649" i="5"/>
  <c r="I649" i="5"/>
  <c r="L1495" i="5"/>
  <c r="I1495" i="5"/>
  <c r="L1368" i="5"/>
  <c r="I1368" i="5"/>
  <c r="L1708" i="5"/>
  <c r="J1708" i="5"/>
  <c r="I1708" i="5"/>
  <c r="L1249" i="5"/>
  <c r="J1249" i="5"/>
  <c r="I1249" i="5"/>
  <c r="L988" i="5"/>
  <c r="J988" i="5"/>
  <c r="I988" i="5"/>
  <c r="L1445" i="5"/>
  <c r="J1445" i="5"/>
  <c r="I1445" i="5"/>
  <c r="L1145" i="5"/>
  <c r="J1145" i="5"/>
  <c r="I1145" i="5"/>
  <c r="L1544" i="5"/>
  <c r="I1544" i="5"/>
  <c r="L1700" i="5"/>
  <c r="I1700" i="5"/>
  <c r="L771" i="5"/>
  <c r="I771" i="5"/>
  <c r="L1457" i="5"/>
  <c r="J1457" i="5"/>
  <c r="I1457" i="5"/>
  <c r="L781" i="5"/>
  <c r="J781" i="5"/>
  <c r="I781" i="5"/>
  <c r="L409" i="5"/>
  <c r="I409" i="5"/>
  <c r="L1553" i="5"/>
  <c r="J1553" i="5"/>
  <c r="I1553" i="5"/>
  <c r="L1474" i="5"/>
  <c r="J1474" i="5"/>
  <c r="I1474" i="5"/>
  <c r="L840" i="5"/>
  <c r="J840" i="5"/>
  <c r="I840" i="5"/>
  <c r="L972" i="5"/>
  <c r="J972" i="5"/>
  <c r="I972" i="5"/>
  <c r="L365" i="5"/>
  <c r="J365" i="5"/>
  <c r="I365" i="5"/>
  <c r="L159" i="5"/>
  <c r="J159" i="5"/>
  <c r="I159" i="5"/>
  <c r="L831" i="5"/>
  <c r="J831" i="5"/>
  <c r="I831" i="5"/>
  <c r="L1599" i="5"/>
  <c r="J1599" i="5"/>
  <c r="I1599" i="5"/>
  <c r="L1390" i="5"/>
  <c r="I1390" i="5"/>
  <c r="L966" i="5"/>
  <c r="I966" i="5"/>
  <c r="L1430" i="5"/>
  <c r="I1430" i="5"/>
  <c r="L1307" i="5"/>
  <c r="J1307" i="5"/>
  <c r="I1307" i="5"/>
  <c r="L880" i="5"/>
  <c r="I880" i="5"/>
  <c r="L859" i="5"/>
  <c r="I859" i="5"/>
  <c r="L356" i="5"/>
  <c r="I356" i="5"/>
  <c r="L943" i="5"/>
  <c r="J943" i="5"/>
  <c r="I943" i="5"/>
  <c r="L757" i="5"/>
  <c r="I757" i="5"/>
  <c r="L1405" i="5"/>
  <c r="J1405" i="5"/>
  <c r="I1405" i="5"/>
  <c r="L360" i="5"/>
  <c r="I360" i="5"/>
  <c r="L833" i="5"/>
  <c r="J833" i="5"/>
  <c r="I833" i="5"/>
  <c r="L40" i="5"/>
  <c r="J40" i="5"/>
  <c r="I40" i="5"/>
  <c r="L1226" i="5"/>
  <c r="J1226" i="5"/>
  <c r="I1226" i="5"/>
  <c r="L385" i="5"/>
  <c r="J385" i="5"/>
  <c r="I385" i="5"/>
  <c r="L722" i="5"/>
  <c r="J722" i="5"/>
  <c r="I722" i="5"/>
  <c r="L811" i="5"/>
  <c r="I811" i="5"/>
  <c r="L574" i="5"/>
  <c r="J574" i="5"/>
  <c r="I574" i="5"/>
  <c r="L1050" i="5"/>
  <c r="L519" i="5"/>
  <c r="J519" i="5"/>
  <c r="I519" i="5"/>
  <c r="L558" i="5"/>
  <c r="J558" i="5"/>
  <c r="I558" i="5"/>
  <c r="L1469" i="5"/>
  <c r="J1469" i="5"/>
  <c r="I1469" i="5"/>
  <c r="L1690" i="5"/>
  <c r="J1690" i="5"/>
  <c r="I1690" i="5"/>
  <c r="L98" i="5"/>
  <c r="J98" i="5"/>
  <c r="I98" i="5"/>
  <c r="L1554" i="5"/>
  <c r="J1554" i="5"/>
  <c r="I1554" i="5"/>
  <c r="L370" i="5"/>
  <c r="I370" i="5"/>
  <c r="L324" i="5"/>
  <c r="J324" i="5"/>
  <c r="I324" i="5"/>
  <c r="L580" i="5"/>
  <c r="I580" i="5"/>
  <c r="L1691" i="5"/>
  <c r="J1691" i="5"/>
  <c r="I1691" i="5"/>
  <c r="L1767" i="5"/>
  <c r="I1767" i="5"/>
  <c r="L1769" i="5"/>
  <c r="J1769" i="5"/>
  <c r="I1769" i="5"/>
  <c r="L222" i="5"/>
  <c r="J222" i="5"/>
  <c r="I222" i="5"/>
  <c r="L1772" i="5"/>
  <c r="I1772" i="5"/>
  <c r="L180" i="5"/>
  <c r="J180" i="5"/>
  <c r="I180" i="5"/>
  <c r="L1556" i="5"/>
  <c r="J1556" i="5"/>
  <c r="I1556" i="5"/>
  <c r="L523" i="5"/>
  <c r="J523" i="5"/>
  <c r="I523" i="5"/>
  <c r="L418" i="5"/>
  <c r="J418" i="5"/>
  <c r="I418" i="5"/>
  <c r="L1066" i="5"/>
  <c r="I1066" i="5"/>
  <c r="L301" i="5"/>
  <c r="J301" i="5"/>
  <c r="I301" i="5"/>
  <c r="L579" i="5"/>
  <c r="J579" i="5"/>
  <c r="I579" i="5"/>
  <c r="L1375" i="5"/>
  <c r="J1375" i="5"/>
  <c r="I1375" i="5"/>
  <c r="L387" i="5"/>
  <c r="I387" i="5"/>
  <c r="L1580" i="5"/>
  <c r="J1580" i="5"/>
  <c r="I1580" i="5"/>
  <c r="L714" i="5"/>
  <c r="I714" i="5"/>
  <c r="L884" i="5"/>
  <c r="I884" i="5"/>
  <c r="L520" i="5"/>
  <c r="J520" i="5"/>
  <c r="I520" i="5"/>
  <c r="L693" i="5"/>
  <c r="J693" i="5"/>
  <c r="I693" i="5"/>
  <c r="L1737" i="5"/>
  <c r="J1737" i="5"/>
  <c r="I1737" i="5"/>
  <c r="L218" i="5"/>
  <c r="J218" i="5"/>
  <c r="I218" i="5"/>
  <c r="L449" i="5"/>
  <c r="I449" i="5"/>
  <c r="L36" i="5"/>
  <c r="J36" i="5"/>
  <c r="I36" i="5"/>
  <c r="L1506" i="5"/>
  <c r="J1506" i="5"/>
  <c r="I1506" i="5"/>
  <c r="L814" i="5"/>
  <c r="I814" i="5"/>
  <c r="L847" i="5"/>
  <c r="J847" i="5"/>
  <c r="I847" i="5"/>
  <c r="L1579" i="5"/>
  <c r="J1579" i="5"/>
  <c r="I1579" i="5"/>
  <c r="L1303" i="5"/>
  <c r="J1303" i="5"/>
  <c r="I1303" i="5"/>
  <c r="L1266" i="5"/>
  <c r="J1266" i="5"/>
  <c r="I1266" i="5"/>
  <c r="L766" i="5"/>
  <c r="I766" i="5"/>
  <c r="L74" i="5"/>
  <c r="J74" i="5"/>
  <c r="I74" i="5"/>
  <c r="L1076" i="5"/>
  <c r="J1076" i="5"/>
  <c r="I1076" i="5"/>
  <c r="L660" i="5"/>
  <c r="I660" i="5"/>
  <c r="L914" i="5"/>
  <c r="J914" i="5"/>
  <c r="I914" i="5"/>
  <c r="L1139" i="5"/>
  <c r="J1139" i="5"/>
  <c r="I1139" i="5"/>
  <c r="L872" i="5"/>
  <c r="J872" i="5"/>
  <c r="I872" i="5"/>
  <c r="L554" i="5"/>
  <c r="I554" i="5"/>
  <c r="L867" i="5"/>
  <c r="I867" i="5"/>
  <c r="L1297" i="5"/>
  <c r="J1297" i="5"/>
  <c r="I1297" i="5"/>
  <c r="L131" i="5"/>
  <c r="J131" i="5"/>
  <c r="I131" i="5"/>
  <c r="L1036" i="5"/>
  <c r="J1036" i="5"/>
  <c r="I1036" i="5"/>
  <c r="L184" i="5"/>
  <c r="J184" i="5"/>
  <c r="I184" i="5"/>
  <c r="L503" i="5"/>
  <c r="J503" i="5"/>
  <c r="I503" i="5"/>
  <c r="L1563" i="5"/>
  <c r="J1563" i="5"/>
  <c r="I1563" i="5"/>
  <c r="L920" i="5"/>
  <c r="J920" i="5"/>
  <c r="I920" i="5"/>
  <c r="L1265" i="5"/>
  <c r="I1265" i="5"/>
  <c r="L149" i="5"/>
  <c r="J149" i="5"/>
  <c r="I149" i="5"/>
  <c r="L685" i="5"/>
  <c r="I685" i="5"/>
  <c r="L832" i="5"/>
  <c r="J832" i="5"/>
  <c r="I832" i="5"/>
  <c r="L890" i="5"/>
  <c r="J890" i="5"/>
  <c r="I890" i="5"/>
  <c r="L257" i="5"/>
  <c r="J257" i="5"/>
  <c r="I257" i="5"/>
  <c r="L875" i="5"/>
  <c r="J875" i="5"/>
  <c r="I875" i="5"/>
  <c r="L1044" i="5"/>
  <c r="J1044" i="5"/>
  <c r="I1044" i="5"/>
  <c r="L930" i="5"/>
  <c r="J930" i="5"/>
  <c r="I930" i="5"/>
  <c r="L264" i="5"/>
  <c r="J264" i="5"/>
  <c r="I264" i="5"/>
  <c r="L1468" i="5"/>
  <c r="I1468" i="5"/>
  <c r="L861" i="5"/>
  <c r="J861" i="5"/>
  <c r="I861" i="5"/>
  <c r="L525" i="5"/>
  <c r="J525" i="5"/>
  <c r="I525" i="5"/>
  <c r="L623" i="5"/>
  <c r="I623" i="5"/>
  <c r="L431" i="5"/>
  <c r="I431" i="5"/>
  <c r="L684" i="5"/>
  <c r="J684" i="5"/>
  <c r="I684" i="5"/>
  <c r="L366" i="5"/>
  <c r="J366" i="5"/>
  <c r="I366" i="5"/>
  <c r="L322" i="5"/>
  <c r="J322" i="5"/>
  <c r="I322" i="5"/>
  <c r="L1010" i="5"/>
  <c r="I1010" i="5"/>
  <c r="L1274" i="5"/>
  <c r="J1274" i="5"/>
  <c r="I1274" i="5"/>
  <c r="L1095" i="5"/>
  <c r="I1095" i="5"/>
  <c r="L743" i="5"/>
  <c r="J743" i="5"/>
  <c r="I743" i="5"/>
  <c r="L1191" i="5"/>
  <c r="J1191" i="5"/>
  <c r="I1191" i="5"/>
  <c r="L1542" i="5"/>
  <c r="I1542" i="5"/>
  <c r="L1612" i="5"/>
  <c r="J1612" i="5"/>
  <c r="I1612" i="5"/>
  <c r="L975" i="5"/>
  <c r="J975" i="5"/>
  <c r="I975" i="5"/>
  <c r="L1002" i="5"/>
  <c r="I1002" i="5"/>
  <c r="L1436" i="5"/>
  <c r="J1436" i="5"/>
  <c r="I1436" i="5"/>
  <c r="L548" i="5"/>
  <c r="I548" i="5"/>
  <c r="L1720" i="5"/>
  <c r="J1720" i="5"/>
  <c r="I1720" i="5"/>
  <c r="L1723" i="5"/>
  <c r="J1723" i="5"/>
  <c r="I1723" i="5"/>
  <c r="L1541" i="5"/>
  <c r="I1541" i="5"/>
  <c r="L543" i="5"/>
  <c r="J543" i="5"/>
  <c r="I543" i="5"/>
  <c r="L1173" i="5"/>
  <c r="J1173" i="5"/>
  <c r="I1173" i="5"/>
  <c r="L1238" i="5"/>
  <c r="J1238" i="5"/>
  <c r="I1238" i="5"/>
  <c r="L1417" i="5"/>
  <c r="J1417" i="5"/>
  <c r="I1417" i="5"/>
  <c r="L982" i="5"/>
  <c r="I982" i="5"/>
  <c r="L1354" i="5"/>
  <c r="I1354" i="5"/>
  <c r="L1435" i="5"/>
  <c r="I1435" i="5"/>
  <c r="L1425" i="5"/>
  <c r="J1425" i="5"/>
  <c r="I1425" i="5"/>
  <c r="L532" i="5"/>
  <c r="J532" i="5"/>
  <c r="I532" i="5"/>
  <c r="L1206" i="5"/>
  <c r="I1206" i="5"/>
  <c r="L1289" i="5"/>
  <c r="I1289" i="5"/>
  <c r="L129" i="5"/>
  <c r="J129" i="5"/>
  <c r="I129" i="5"/>
  <c r="L1057" i="5"/>
  <c r="J1057" i="5"/>
  <c r="I1057" i="5"/>
  <c r="L964" i="5"/>
  <c r="J964" i="5"/>
  <c r="I964" i="5"/>
  <c r="L1459" i="5"/>
  <c r="J1459" i="5"/>
  <c r="I1459" i="5"/>
  <c r="L406" i="5"/>
  <c r="J406" i="5"/>
  <c r="I406" i="5"/>
  <c r="L545" i="5"/>
  <c r="J545" i="5"/>
  <c r="I545" i="5"/>
  <c r="L1330" i="5"/>
  <c r="I1330" i="5"/>
  <c r="L777" i="5"/>
  <c r="J777" i="5"/>
  <c r="I777" i="5"/>
  <c r="L874" i="5"/>
  <c r="J874" i="5"/>
  <c r="I874" i="5"/>
  <c r="L1310" i="5"/>
  <c r="I1310" i="5"/>
  <c r="L348" i="5"/>
  <c r="J348" i="5"/>
  <c r="I348" i="5"/>
  <c r="L928" i="5"/>
  <c r="J928" i="5"/>
  <c r="I928" i="5"/>
  <c r="L244" i="5"/>
  <c r="J244" i="5"/>
  <c r="I244" i="5"/>
  <c r="L606" i="5"/>
  <c r="J606" i="5"/>
  <c r="I606" i="5"/>
  <c r="L193" i="5"/>
  <c r="I193" i="5"/>
  <c r="L1633" i="5"/>
  <c r="I1633" i="5"/>
  <c r="L441" i="5"/>
  <c r="J441" i="5"/>
  <c r="I441" i="5"/>
  <c r="L1309" i="5"/>
  <c r="J1309" i="5"/>
  <c r="I1309" i="5"/>
  <c r="L1566" i="5"/>
  <c r="I1566" i="5"/>
  <c r="L1770" i="5"/>
  <c r="L428" i="5"/>
  <c r="J428" i="5"/>
  <c r="I428" i="5"/>
  <c r="L739" i="5"/>
  <c r="J739" i="5"/>
  <c r="I739" i="5"/>
  <c r="L1747" i="5"/>
  <c r="I1747" i="5"/>
  <c r="L569" i="5"/>
  <c r="J569" i="5"/>
  <c r="I569" i="5"/>
  <c r="L792" i="5"/>
  <c r="J792" i="5"/>
  <c r="I792" i="5"/>
  <c r="L870" i="5"/>
  <c r="I870" i="5"/>
  <c r="L1433" i="5"/>
  <c r="J1433" i="5"/>
  <c r="I1433" i="5"/>
  <c r="L416" i="5"/>
  <c r="I416" i="5"/>
  <c r="I692" i="5"/>
  <c r="L57" i="5"/>
  <c r="I57" i="5"/>
  <c r="L224" i="5"/>
  <c r="J224" i="5"/>
  <c r="I224" i="5"/>
  <c r="L151" i="5"/>
  <c r="J151" i="5"/>
  <c r="I151" i="5"/>
  <c r="L1734" i="5"/>
  <c r="J1734" i="5"/>
  <c r="I1734" i="5"/>
  <c r="L1136" i="5"/>
  <c r="I1136" i="5"/>
  <c r="L243" i="5"/>
  <c r="J243" i="5"/>
  <c r="I243" i="5"/>
  <c r="L1510" i="5"/>
  <c r="I1510" i="5"/>
  <c r="L1178" i="5"/>
  <c r="I1178" i="5"/>
  <c r="L599" i="5"/>
  <c r="J599" i="5"/>
  <c r="I599" i="5"/>
  <c r="L1055" i="5"/>
  <c r="I1055" i="5"/>
  <c r="L1403" i="5"/>
  <c r="I1403" i="5"/>
  <c r="L910" i="5"/>
  <c r="J910" i="5"/>
  <c r="I910" i="5"/>
  <c r="L1562" i="5"/>
  <c r="I1562" i="5"/>
  <c r="L1695" i="5"/>
  <c r="J1695" i="5"/>
  <c r="I1695" i="5"/>
  <c r="L88" i="5"/>
  <c r="I88" i="5"/>
  <c r="L715" i="5"/>
  <c r="J715" i="5"/>
  <c r="I715" i="5"/>
  <c r="L551" i="5"/>
  <c r="J551" i="5"/>
  <c r="I551" i="5"/>
  <c r="L76" i="5"/>
  <c r="I76" i="5"/>
  <c r="L1573" i="5"/>
  <c r="I1573" i="5"/>
  <c r="L1485" i="5"/>
  <c r="J1485" i="5"/>
  <c r="I1485" i="5"/>
  <c r="L1352" i="5"/>
  <c r="J1352" i="5"/>
  <c r="I1352" i="5"/>
  <c r="L908" i="5"/>
  <c r="J908" i="5"/>
  <c r="I908" i="5"/>
  <c r="L1042" i="5"/>
  <c r="I1042" i="5"/>
  <c r="L1237" i="5"/>
  <c r="J1237" i="5"/>
  <c r="I1237" i="5"/>
  <c r="L1220" i="5"/>
  <c r="J1220" i="5"/>
  <c r="I1220" i="5"/>
  <c r="L919" i="5"/>
  <c r="I919" i="5"/>
  <c r="L621" i="5"/>
  <c r="J621" i="5"/>
  <c r="I621" i="5"/>
  <c r="L667" i="5"/>
  <c r="J667" i="5"/>
  <c r="I667" i="5"/>
  <c r="L401" i="5"/>
  <c r="I401" i="5"/>
  <c r="L1654" i="5"/>
  <c r="I1654" i="5"/>
  <c r="L1523" i="5"/>
  <c r="J1523" i="5"/>
  <c r="I1523" i="5"/>
  <c r="L275" i="5"/>
  <c r="I275" i="5"/>
  <c r="L412" i="5"/>
  <c r="J412" i="5"/>
  <c r="I412" i="5"/>
  <c r="L452" i="5"/>
  <c r="J452" i="5"/>
  <c r="I452" i="5"/>
  <c r="L583" i="5"/>
  <c r="J583" i="5"/>
  <c r="I583" i="5"/>
  <c r="L1318" i="5"/>
  <c r="J1318" i="5"/>
  <c r="I1318" i="5"/>
  <c r="L1514" i="5"/>
  <c r="J1514" i="5"/>
  <c r="I1514" i="5"/>
  <c r="L594" i="5"/>
  <c r="J594" i="5"/>
  <c r="I594" i="5"/>
  <c r="L493" i="5"/>
  <c r="J493" i="5"/>
  <c r="I493" i="5"/>
  <c r="L1016" i="5"/>
  <c r="I1016" i="5"/>
  <c r="L79" i="5"/>
  <c r="I79" i="5"/>
  <c r="L261" i="5"/>
  <c r="I261" i="5"/>
  <c r="L1089" i="5"/>
  <c r="J1089" i="5"/>
  <c r="I1089" i="5"/>
  <c r="L1302" i="5"/>
  <c r="I1302" i="5"/>
  <c r="L221" i="5"/>
  <c r="J221" i="5"/>
  <c r="I221" i="5"/>
  <c r="L937" i="5"/>
  <c r="J937" i="5"/>
  <c r="I937" i="5"/>
  <c r="L373" i="5"/>
  <c r="J373" i="5"/>
  <c r="I373" i="5"/>
  <c r="L1498" i="5"/>
  <c r="J1498" i="5"/>
  <c r="I1498" i="5"/>
  <c r="L598" i="5"/>
  <c r="J598" i="5"/>
  <c r="I598" i="5"/>
  <c r="L541" i="5"/>
  <c r="I541" i="5"/>
  <c r="L1208" i="5"/>
  <c r="I1208" i="5"/>
  <c r="L1031" i="5"/>
  <c r="J1031" i="5"/>
  <c r="I1031" i="5"/>
  <c r="L80" i="5"/>
  <c r="I80" i="5"/>
  <c r="L1502" i="5"/>
  <c r="J1502" i="5"/>
  <c r="I1502" i="5"/>
  <c r="L439" i="5"/>
  <c r="J439" i="5"/>
  <c r="I439" i="5"/>
  <c r="L818" i="5"/>
  <c r="J818" i="5"/>
  <c r="I818" i="5"/>
  <c r="L359" i="5"/>
  <c r="J359" i="5"/>
  <c r="I359" i="5"/>
  <c r="L1571" i="5"/>
  <c r="J1571" i="5"/>
  <c r="I1571" i="5"/>
  <c r="L1623" i="5"/>
  <c r="J1623" i="5"/>
  <c r="I1623" i="5"/>
  <c r="L893" i="5"/>
  <c r="I893" i="5"/>
  <c r="L879" i="5"/>
  <c r="J879" i="5"/>
  <c r="I879" i="5"/>
  <c r="L984" i="5"/>
  <c r="J984" i="5"/>
  <c r="I984" i="5"/>
  <c r="L1361" i="5"/>
  <c r="J1361" i="5"/>
  <c r="I1361" i="5"/>
  <c r="L676" i="5"/>
  <c r="J676" i="5"/>
  <c r="I676" i="5"/>
  <c r="L1661" i="5"/>
  <c r="I1661" i="5"/>
  <c r="L959" i="5"/>
  <c r="J959" i="5"/>
  <c r="I959" i="5"/>
  <c r="L333" i="5"/>
  <c r="J333" i="5"/>
  <c r="I333" i="5"/>
  <c r="L749" i="5"/>
  <c r="I749" i="5"/>
  <c r="L433" i="5"/>
  <c r="J433" i="5"/>
  <c r="I433" i="5"/>
  <c r="L536" i="5"/>
  <c r="I536" i="5"/>
  <c r="L468" i="5"/>
  <c r="J468" i="5"/>
  <c r="I468" i="5"/>
  <c r="L1483" i="5"/>
  <c r="I1483" i="5"/>
  <c r="L194" i="5"/>
  <c r="J194" i="5"/>
  <c r="I194" i="5"/>
  <c r="L1471" i="5"/>
  <c r="J1471" i="5"/>
  <c r="I1471" i="5"/>
  <c r="L162" i="5"/>
  <c r="J162" i="5"/>
  <c r="I162" i="5"/>
  <c r="L1053" i="5"/>
  <c r="J1053" i="5"/>
  <c r="I1053" i="5"/>
  <c r="L25" i="5"/>
  <c r="J25" i="5"/>
  <c r="I25" i="5"/>
  <c r="L181" i="5"/>
  <c r="I181" i="5"/>
  <c r="L1721" i="5"/>
  <c r="J1721" i="5"/>
  <c r="I1721" i="5"/>
  <c r="L379" i="5"/>
  <c r="I379" i="5"/>
  <c r="L590" i="5"/>
  <c r="J590" i="5"/>
  <c r="I590" i="5"/>
  <c r="L1338" i="5"/>
  <c r="J1338" i="5"/>
  <c r="I1338" i="5"/>
  <c r="L947" i="5"/>
  <c r="J947" i="5"/>
  <c r="I947" i="5"/>
  <c r="L234" i="5"/>
  <c r="J234" i="5"/>
  <c r="I234" i="5"/>
  <c r="L459" i="5"/>
  <c r="I459" i="5"/>
  <c r="L1043" i="5"/>
  <c r="J1043" i="5"/>
  <c r="I1043" i="5"/>
  <c r="L1096" i="5"/>
  <c r="I1096" i="5"/>
  <c r="L596" i="5"/>
  <c r="J596" i="5"/>
  <c r="I596" i="5"/>
  <c r="L1186" i="5"/>
  <c r="J1186" i="5"/>
  <c r="I1186" i="5"/>
  <c r="L787" i="5"/>
  <c r="J787" i="5"/>
  <c r="I787" i="5"/>
  <c r="L510" i="5"/>
  <c r="J510" i="5"/>
  <c r="I510" i="5"/>
  <c r="L953" i="5"/>
  <c r="J953" i="5"/>
  <c r="I953" i="5"/>
  <c r="L991" i="5"/>
  <c r="J991" i="5"/>
  <c r="I991" i="5"/>
  <c r="L353" i="5"/>
  <c r="I353" i="5"/>
  <c r="L566" i="5"/>
  <c r="I566" i="5"/>
  <c r="L694" i="5"/>
  <c r="J694" i="5"/>
  <c r="I694" i="5"/>
  <c r="L647" i="5"/>
  <c r="I647" i="5"/>
  <c r="L1730" i="5"/>
  <c r="I1730" i="5"/>
  <c r="L1047" i="5"/>
  <c r="J1047" i="5"/>
  <c r="I1047" i="5"/>
  <c r="L1251" i="5"/>
  <c r="J1251" i="5"/>
  <c r="I1251" i="5"/>
  <c r="L458" i="5"/>
  <c r="I458" i="5"/>
  <c r="L200" i="5"/>
  <c r="I200" i="5"/>
  <c r="L175" i="5"/>
  <c r="J175" i="5"/>
  <c r="I175" i="5"/>
  <c r="L1332" i="5"/>
  <c r="J1332" i="5"/>
  <c r="I1332" i="5"/>
  <c r="L296" i="5"/>
  <c r="J296" i="5"/>
  <c r="I296" i="5"/>
  <c r="L1561" i="5"/>
  <c r="J1561" i="5"/>
  <c r="I1561" i="5"/>
  <c r="L445" i="5"/>
  <c r="J445" i="5"/>
  <c r="I445" i="5"/>
  <c r="L1620" i="5"/>
  <c r="J1620" i="5"/>
  <c r="I1620" i="5"/>
  <c r="L785" i="5"/>
  <c r="J785" i="5"/>
  <c r="I785" i="5"/>
  <c r="L1039" i="5"/>
  <c r="J1039" i="5"/>
  <c r="I1039" i="5"/>
  <c r="L856" i="5"/>
  <c r="J856" i="5"/>
  <c r="I856" i="5"/>
  <c r="L575" i="5"/>
  <c r="I575" i="5"/>
  <c r="L924" i="5"/>
  <c r="I924" i="5"/>
  <c r="L173" i="5"/>
  <c r="J173" i="5"/>
  <c r="I173" i="5"/>
  <c r="L1449" i="5"/>
  <c r="J1449" i="5"/>
  <c r="I1449" i="5"/>
  <c r="L1677" i="5"/>
  <c r="J1677" i="5"/>
  <c r="I1677" i="5"/>
  <c r="L963" i="5"/>
  <c r="J963" i="5"/>
  <c r="I963" i="5"/>
  <c r="L705" i="5"/>
  <c r="J705" i="5"/>
  <c r="I705" i="5"/>
  <c r="L873" i="5"/>
  <c r="J873" i="5"/>
  <c r="I873" i="5"/>
  <c r="L1140" i="5"/>
  <c r="I1140" i="5"/>
  <c r="L1281" i="5"/>
  <c r="J1281" i="5"/>
  <c r="I1281" i="5"/>
  <c r="L423" i="5"/>
  <c r="J423" i="5"/>
  <c r="I423" i="5"/>
  <c r="L1024" i="5"/>
  <c r="J1024" i="5"/>
  <c r="I1024" i="5"/>
  <c r="L748" i="5"/>
  <c r="J748" i="5"/>
  <c r="I748" i="5"/>
  <c r="L335" i="5"/>
  <c r="J335" i="5"/>
  <c r="I335" i="5"/>
  <c r="L1644" i="5"/>
  <c r="J1644" i="5"/>
  <c r="I1644" i="5"/>
  <c r="L776" i="5"/>
  <c r="I776" i="5"/>
  <c r="L1004" i="5"/>
  <c r="J1004" i="5"/>
  <c r="I1004" i="5"/>
  <c r="L1277" i="5"/>
  <c r="J1277" i="5"/>
  <c r="I1277" i="5"/>
  <c r="L1294" i="5"/>
  <c r="J1294" i="5"/>
  <c r="I1294" i="5"/>
  <c r="L1484" i="5"/>
  <c r="J1484" i="5"/>
  <c r="I1484" i="5"/>
  <c r="L178" i="5"/>
  <c r="J178" i="5"/>
  <c r="I178" i="5"/>
  <c r="L665" i="5"/>
  <c r="J665" i="5"/>
  <c r="I665" i="5"/>
  <c r="L1196" i="5"/>
  <c r="I1196" i="5"/>
  <c r="L1464" i="5"/>
  <c r="I1464" i="5"/>
  <c r="L103" i="5"/>
  <c r="J103" i="5"/>
  <c r="I103" i="5"/>
  <c r="L470" i="5"/>
  <c r="I470" i="5"/>
  <c r="L1606" i="5"/>
  <c r="J1606" i="5"/>
  <c r="I1606" i="5"/>
  <c r="L1545" i="5"/>
  <c r="J1545" i="5"/>
  <c r="I1545" i="5"/>
  <c r="L841" i="5"/>
  <c r="J841" i="5"/>
  <c r="I841" i="5"/>
  <c r="L1244" i="5"/>
  <c r="J1244" i="5"/>
  <c r="I1244" i="5"/>
  <c r="L728" i="5"/>
  <c r="J728" i="5"/>
  <c r="I728" i="5"/>
  <c r="L563" i="5"/>
  <c r="J563" i="5"/>
  <c r="I563" i="5"/>
  <c r="L1030" i="5"/>
  <c r="I1030" i="5"/>
  <c r="L475" i="5"/>
  <c r="I475" i="5"/>
  <c r="L46" i="5"/>
  <c r="I46" i="5"/>
  <c r="L185" i="5"/>
  <c r="J185" i="5"/>
  <c r="I185" i="5"/>
  <c r="I946" i="5"/>
  <c r="L1054" i="5"/>
  <c r="I1054" i="5"/>
  <c r="L64" i="5"/>
  <c r="I64" i="5"/>
  <c r="L1038" i="5"/>
  <c r="J1038" i="5"/>
  <c r="I1038" i="5"/>
  <c r="L504" i="5"/>
  <c r="J504" i="5"/>
  <c r="I504" i="5"/>
  <c r="L1429" i="5"/>
  <c r="J1429" i="5"/>
  <c r="I1429" i="5"/>
  <c r="L1104" i="5"/>
  <c r="J1104" i="5"/>
  <c r="I1104" i="5"/>
  <c r="L1319" i="5"/>
  <c r="J1319" i="5"/>
  <c r="I1319" i="5"/>
  <c r="L1706" i="5"/>
  <c r="I1706" i="5"/>
  <c r="L1241" i="5"/>
  <c r="J1241" i="5"/>
  <c r="I1241" i="5"/>
  <c r="J931" i="5"/>
  <c r="I931" i="5"/>
  <c r="L691" i="5"/>
  <c r="J691" i="5"/>
  <c r="I691" i="5"/>
  <c r="L1041" i="5"/>
  <c r="J1041" i="5"/>
  <c r="I1041" i="5"/>
  <c r="L1739" i="5"/>
  <c r="I1739" i="5"/>
  <c r="L799" i="5"/>
  <c r="J799" i="5"/>
  <c r="I799" i="5"/>
  <c r="L625" i="5"/>
  <c r="I625" i="5"/>
  <c r="L315" i="5"/>
  <c r="J315" i="5"/>
  <c r="I315" i="5"/>
  <c r="L1339" i="5"/>
  <c r="J1339" i="5"/>
  <c r="I1339" i="5"/>
  <c r="L834" i="5"/>
  <c r="J834" i="5"/>
  <c r="I834" i="5"/>
  <c r="L1759" i="5"/>
  <c r="I1759" i="5"/>
  <c r="L1105" i="5"/>
  <c r="J1105" i="5"/>
  <c r="I1105" i="5"/>
  <c r="L564" i="5"/>
  <c r="J564" i="5"/>
  <c r="I564" i="5"/>
  <c r="L556" i="5"/>
  <c r="J556" i="5"/>
  <c r="I556" i="5"/>
  <c r="L1575" i="5"/>
  <c r="J1575" i="5"/>
  <c r="I1575" i="5"/>
  <c r="L754" i="5"/>
  <c r="J754" i="5"/>
  <c r="I754" i="5"/>
  <c r="L1370" i="5"/>
  <c r="J1370" i="5"/>
  <c r="I1370" i="5"/>
  <c r="L1235" i="5"/>
  <c r="J1235" i="5"/>
  <c r="I1235" i="5"/>
  <c r="L1560" i="5"/>
  <c r="J1560" i="5"/>
  <c r="I1560" i="5"/>
  <c r="L1078" i="5"/>
  <c r="J1078" i="5"/>
  <c r="I1078" i="5"/>
  <c r="L1144" i="5"/>
  <c r="J1144" i="5"/>
  <c r="I1144" i="5"/>
  <c r="L1601" i="5"/>
  <c r="I1601" i="5"/>
  <c r="L1713" i="5"/>
  <c r="J1713" i="5"/>
  <c r="I1713" i="5"/>
  <c r="L784" i="5"/>
  <c r="I784" i="5"/>
  <c r="L509" i="5"/>
  <c r="I509" i="5"/>
  <c r="L573" i="5"/>
  <c r="J573" i="5"/>
  <c r="I573" i="5"/>
  <c r="L21" i="5"/>
  <c r="J21" i="5"/>
  <c r="I21" i="5"/>
  <c r="L677" i="5"/>
  <c r="J677" i="5"/>
  <c r="I677" i="5"/>
  <c r="L1593" i="5"/>
  <c r="I1593" i="5"/>
  <c r="L440" i="5"/>
  <c r="J440" i="5"/>
  <c r="I440" i="5"/>
  <c r="L1202" i="5"/>
  <c r="J1202" i="5"/>
  <c r="I1202" i="5"/>
  <c r="L1752" i="5"/>
  <c r="I1752" i="5"/>
  <c r="L1598" i="5"/>
  <c r="J1598" i="5"/>
  <c r="I1598" i="5"/>
  <c r="L553" i="5"/>
  <c r="J553" i="5"/>
  <c r="I553" i="5"/>
  <c r="L1711" i="5"/>
  <c r="I1711" i="5"/>
  <c r="L355" i="5"/>
  <c r="I355" i="5"/>
  <c r="L367" i="5"/>
  <c r="J367" i="5"/>
  <c r="I367" i="5"/>
  <c r="L1037" i="5"/>
  <c r="J1037" i="5"/>
  <c r="I1037" i="5"/>
  <c r="L1172" i="5"/>
  <c r="I1172" i="5"/>
  <c r="L402" i="5"/>
  <c r="J402" i="5"/>
  <c r="I402" i="5"/>
  <c r="L298" i="5"/>
  <c r="J298" i="5"/>
  <c r="I298" i="5"/>
  <c r="L108" i="5"/>
  <c r="I108" i="5"/>
  <c r="L643" i="5"/>
  <c r="J643" i="5"/>
  <c r="I643" i="5"/>
  <c r="L1558" i="5"/>
  <c r="I1558" i="5"/>
  <c r="L813" i="5"/>
  <c r="I813" i="5"/>
  <c r="L612" i="5"/>
  <c r="I612" i="5"/>
  <c r="L1664" i="5"/>
  <c r="J1664" i="5"/>
  <c r="I1664" i="5"/>
  <c r="L1005" i="5"/>
  <c r="J1005" i="5"/>
  <c r="I1005" i="5"/>
  <c r="L1596" i="5"/>
  <c r="I1596" i="5"/>
  <c r="L266" i="5"/>
  <c r="J266" i="5"/>
  <c r="I266" i="5"/>
  <c r="L248" i="5"/>
  <c r="I248" i="5"/>
  <c r="L1234" i="5"/>
  <c r="J1234" i="5"/>
  <c r="I1234" i="5"/>
  <c r="L1103" i="5"/>
  <c r="J1103" i="5"/>
  <c r="I1103" i="5"/>
  <c r="L1406" i="5"/>
  <c r="J1406" i="5"/>
  <c r="I1406" i="5"/>
  <c r="L926" i="5"/>
  <c r="J926" i="5"/>
  <c r="I926" i="5"/>
  <c r="L1285" i="5"/>
  <c r="I1285" i="5"/>
  <c r="L1115" i="5"/>
  <c r="I1115" i="5"/>
  <c r="L426" i="5"/>
  <c r="J426" i="5"/>
  <c r="I426" i="5"/>
  <c r="L190" i="5"/>
  <c r="I190" i="5"/>
  <c r="L226" i="5"/>
  <c r="I226" i="5"/>
  <c r="L1522" i="5"/>
  <c r="I1522" i="5"/>
  <c r="L299" i="5"/>
  <c r="I299" i="5"/>
  <c r="L538" i="5"/>
  <c r="J538" i="5"/>
  <c r="I538" i="5"/>
  <c r="L252" i="5"/>
  <c r="J252" i="5"/>
  <c r="I252" i="5"/>
  <c r="L491" i="5"/>
  <c r="L1416" i="5"/>
  <c r="J1416" i="5"/>
  <c r="I1416" i="5"/>
  <c r="L443" i="5"/>
  <c r="I443" i="5"/>
  <c r="L460" i="5"/>
  <c r="J460" i="5"/>
  <c r="I460" i="5"/>
  <c r="L346" i="5"/>
  <c r="J346" i="5"/>
  <c r="I346" i="5"/>
  <c r="L121" i="5"/>
  <c r="I121" i="5"/>
  <c r="L1086" i="5"/>
  <c r="I1086" i="5"/>
  <c r="L1585" i="5"/>
  <c r="I1585" i="5"/>
  <c r="L207" i="5"/>
  <c r="J207" i="5"/>
  <c r="I207" i="5"/>
  <c r="L347" i="5"/>
  <c r="J347" i="5"/>
  <c r="I347" i="5"/>
  <c r="L584" i="5"/>
  <c r="I584" i="5"/>
  <c r="L801" i="5"/>
  <c r="I801" i="5"/>
  <c r="L508" i="5"/>
  <c r="J508" i="5"/>
  <c r="I508" i="5"/>
  <c r="L332" i="5"/>
  <c r="J332" i="5"/>
  <c r="I332" i="5"/>
  <c r="L1726" i="5"/>
  <c r="I1726" i="5"/>
  <c r="L288" i="5"/>
  <c r="J288" i="5"/>
  <c r="I288" i="5"/>
  <c r="L391" i="5"/>
  <c r="I391" i="5"/>
  <c r="L378" i="5"/>
  <c r="J378" i="5"/>
  <c r="I378" i="5"/>
  <c r="L954" i="5"/>
  <c r="J954" i="5"/>
  <c r="I954" i="5"/>
  <c r="L1075" i="5"/>
  <c r="I1075" i="5"/>
  <c r="L1023" i="5"/>
  <c r="J1023" i="5"/>
  <c r="I1023" i="5"/>
  <c r="L1012" i="5"/>
  <c r="I1012" i="5"/>
  <c r="L950" i="5"/>
  <c r="I950" i="5"/>
  <c r="L671" i="5"/>
  <c r="J671" i="5"/>
  <c r="I671" i="5"/>
  <c r="L292" i="5"/>
  <c r="J292" i="5"/>
  <c r="I292" i="5"/>
  <c r="L495" i="5"/>
  <c r="I495" i="5"/>
  <c r="L419" i="5"/>
  <c r="I419" i="5"/>
  <c r="L1127" i="5"/>
  <c r="J1127" i="5"/>
  <c r="I1127" i="5"/>
  <c r="L1749" i="5"/>
  <c r="I1749" i="5"/>
  <c r="J717" i="5"/>
  <c r="I717" i="5"/>
  <c r="L615" i="5"/>
  <c r="J615" i="5"/>
  <c r="I615" i="5"/>
  <c r="L155" i="5"/>
  <c r="J155" i="5"/>
  <c r="I155" i="5"/>
  <c r="L308" i="5"/>
  <c r="I308" i="5"/>
  <c r="L1391" i="5"/>
  <c r="J1391" i="5"/>
  <c r="I1391" i="5"/>
  <c r="L1610" i="5"/>
  <c r="J1610" i="5"/>
  <c r="I1610" i="5"/>
  <c r="L247" i="5"/>
  <c r="J247" i="5"/>
  <c r="I247" i="5"/>
  <c r="L780" i="5"/>
  <c r="J780" i="5"/>
  <c r="I780" i="5"/>
  <c r="L995" i="5"/>
  <c r="I995" i="5"/>
  <c r="L146" i="5"/>
  <c r="J146" i="5"/>
  <c r="I146" i="5"/>
  <c r="L49" i="5"/>
  <c r="J49" i="5"/>
  <c r="I49" i="5"/>
  <c r="L6" i="5"/>
  <c r="J6" i="5"/>
  <c r="I6" i="5"/>
  <c r="L1365" i="5"/>
  <c r="J1365" i="5"/>
  <c r="I1365" i="5"/>
  <c r="L1492" i="5"/>
  <c r="I1492" i="5"/>
  <c r="J318" i="5"/>
  <c r="I318" i="5"/>
  <c r="L314" i="5"/>
  <c r="J314" i="5"/>
  <c r="I314" i="5"/>
  <c r="L1551" i="5"/>
  <c r="J1551" i="5"/>
  <c r="I1551" i="5"/>
  <c r="L1719" i="5"/>
  <c r="J1719" i="5"/>
  <c r="I1719" i="5"/>
  <c r="L1272" i="5"/>
  <c r="J1272" i="5"/>
  <c r="I1272" i="5"/>
  <c r="L1320" i="5"/>
  <c r="J1320" i="5"/>
  <c r="I1320" i="5"/>
  <c r="L1758" i="5"/>
  <c r="J1758" i="5"/>
  <c r="I1758" i="5"/>
  <c r="L1252" i="5"/>
  <c r="J1252" i="5"/>
  <c r="I1252" i="5"/>
  <c r="L453" i="5"/>
  <c r="J453" i="5"/>
  <c r="I453" i="5"/>
  <c r="L55" i="5"/>
  <c r="J55" i="5"/>
  <c r="I55" i="5"/>
  <c r="L1680" i="5"/>
  <c r="J1680" i="5"/>
  <c r="I1680" i="5"/>
  <c r="L805" i="5"/>
  <c r="J805" i="5"/>
  <c r="I805" i="5"/>
  <c r="L957" i="5"/>
  <c r="J957" i="5"/>
  <c r="I957" i="5"/>
  <c r="L986" i="5"/>
  <c r="J986" i="5"/>
  <c r="I986" i="5"/>
  <c r="L895" i="5"/>
  <c r="I895" i="5"/>
  <c r="L396" i="5"/>
  <c r="I396" i="5"/>
  <c r="L528" i="5"/>
  <c r="I528" i="5"/>
  <c r="L327" i="5"/>
  <c r="I327" i="5"/>
  <c r="L325" i="5"/>
  <c r="I325" i="5"/>
  <c r="L1696" i="5"/>
  <c r="J1696" i="5"/>
  <c r="I1696" i="5"/>
  <c r="L1676" i="5"/>
  <c r="J1676" i="5"/>
  <c r="I1676" i="5"/>
  <c r="L1564" i="5"/>
  <c r="J1564" i="5"/>
  <c r="I1564" i="5"/>
  <c r="L744" i="5"/>
  <c r="J744" i="5"/>
  <c r="I744" i="5"/>
  <c r="L876" i="5"/>
  <c r="I876" i="5"/>
  <c r="L1169" i="5"/>
  <c r="I1169" i="5"/>
  <c r="L361" i="5"/>
  <c r="J361" i="5"/>
  <c r="I361" i="5"/>
  <c r="L990" i="5"/>
  <c r="J990" i="5"/>
  <c r="I990" i="5"/>
  <c r="L547" i="5"/>
  <c r="J547" i="5"/>
  <c r="I547" i="5"/>
  <c r="L604" i="5"/>
  <c r="J604" i="5"/>
  <c r="I604" i="5"/>
  <c r="L479" i="5"/>
  <c r="I479" i="5"/>
  <c r="L1380" i="5"/>
  <c r="J1380" i="5"/>
  <c r="I1380" i="5"/>
  <c r="L125" i="5"/>
  <c r="J125" i="5"/>
  <c r="I125" i="5"/>
  <c r="L399" i="5"/>
  <c r="I399" i="5"/>
  <c r="L405" i="5"/>
  <c r="J405" i="5"/>
  <c r="I405" i="5"/>
  <c r="L307" i="5"/>
  <c r="J307" i="5"/>
  <c r="I307" i="5"/>
  <c r="L1181" i="5"/>
  <c r="J1181" i="5"/>
  <c r="I1181" i="5"/>
  <c r="L968" i="5"/>
  <c r="I968" i="5"/>
  <c r="L1477" i="5"/>
  <c r="J1477" i="5"/>
  <c r="I1477" i="5"/>
  <c r="L770" i="5"/>
  <c r="J770" i="5"/>
  <c r="I770" i="5"/>
  <c r="L1428" i="5"/>
  <c r="I1428" i="5"/>
  <c r="L1763" i="5"/>
  <c r="J1763" i="5"/>
  <c r="I1763" i="5"/>
  <c r="L192" i="5"/>
  <c r="I192" i="5"/>
  <c r="L1227" i="5"/>
  <c r="J1227" i="5"/>
  <c r="I1227" i="5"/>
  <c r="L1503" i="5"/>
  <c r="J1503" i="5"/>
  <c r="I1503" i="5"/>
  <c r="J1000" i="5"/>
  <c r="I1000" i="5"/>
  <c r="L10" i="5"/>
  <c r="J10" i="5"/>
  <c r="I10" i="5"/>
  <c r="L1270" i="5"/>
  <c r="J1270" i="5"/>
  <c r="I1270" i="5"/>
  <c r="L761" i="5"/>
  <c r="I761" i="5"/>
  <c r="L1198" i="5"/>
  <c r="I1198" i="5"/>
  <c r="L78" i="5"/>
  <c r="J78" i="5"/>
  <c r="I78" i="5"/>
  <c r="L1034" i="5"/>
  <c r="J1034" i="5"/>
  <c r="I1034" i="5"/>
  <c r="L1527" i="5"/>
  <c r="J1527" i="5"/>
  <c r="I1527" i="5"/>
  <c r="L802" i="5"/>
  <c r="J802" i="5"/>
  <c r="I802" i="5"/>
  <c r="L1740" i="5"/>
  <c r="I1740" i="5"/>
  <c r="L1621" i="5"/>
  <c r="J1621" i="5"/>
  <c r="I1621" i="5"/>
  <c r="L506" i="5"/>
  <c r="I506" i="5"/>
  <c r="L674" i="5"/>
  <c r="J674" i="5"/>
  <c r="I674" i="5"/>
  <c r="L1536" i="5"/>
  <c r="I1536" i="5"/>
  <c r="L1640" i="5"/>
  <c r="J1640" i="5"/>
  <c r="I1640" i="5"/>
  <c r="L916" i="5"/>
  <c r="J916" i="5"/>
  <c r="I916" i="5"/>
  <c r="L1437" i="5"/>
  <c r="I1437" i="5"/>
  <c r="L350" i="5"/>
  <c r="J350" i="5"/>
  <c r="I350" i="5"/>
  <c r="L1748" i="5"/>
  <c r="J1748" i="5"/>
  <c r="I1748" i="5"/>
  <c r="L1081" i="5"/>
  <c r="J1081" i="5"/>
  <c r="I1081" i="5"/>
  <c r="L269" i="5"/>
  <c r="I269" i="5"/>
  <c r="L619" i="5"/>
  <c r="I619" i="5"/>
  <c r="L1093" i="5"/>
  <c r="J1093" i="5"/>
  <c r="I1093" i="5"/>
  <c r="L1632" i="5"/>
  <c r="J1632" i="5"/>
  <c r="I1632" i="5"/>
  <c r="L1357" i="5"/>
  <c r="J1357" i="5"/>
  <c r="I1357" i="5"/>
  <c r="L1519" i="5"/>
  <c r="J1519" i="5"/>
  <c r="I1519" i="5"/>
  <c r="L1325" i="5"/>
  <c r="J1325" i="5"/>
  <c r="I1325" i="5"/>
  <c r="L1214" i="5"/>
  <c r="J1214" i="5"/>
  <c r="I1214" i="5"/>
  <c r="L1604" i="5"/>
  <c r="I1604" i="5"/>
  <c r="L281" i="5"/>
  <c r="I281" i="5"/>
  <c r="L1133" i="5"/>
  <c r="J1133" i="5"/>
  <c r="I1133" i="5"/>
  <c r="L415" i="5"/>
  <c r="I415" i="5"/>
  <c r="L156" i="5"/>
  <c r="J156" i="5"/>
  <c r="I156" i="5"/>
  <c r="L892" i="5"/>
  <c r="J892" i="5"/>
  <c r="I892" i="5"/>
  <c r="L1388" i="5"/>
  <c r="I1388" i="5"/>
  <c r="L165" i="5"/>
  <c r="J165" i="5"/>
  <c r="I165" i="5"/>
  <c r="L1101" i="5"/>
  <c r="J1101" i="5"/>
  <c r="I1101" i="5"/>
  <c r="L655" i="5"/>
  <c r="I655" i="5"/>
  <c r="L673" i="5"/>
  <c r="I673" i="5"/>
  <c r="L362" i="5"/>
  <c r="I362" i="5"/>
  <c r="L1446" i="5"/>
  <c r="J1446" i="5"/>
  <c r="I1446" i="5"/>
  <c r="L1703" i="5"/>
  <c r="J1703" i="5"/>
  <c r="I1703" i="5"/>
  <c r="L1106" i="5"/>
  <c r="J1106" i="5"/>
  <c r="I1106" i="5"/>
  <c r="L1637" i="5"/>
  <c r="J1637" i="5"/>
  <c r="I1637" i="5"/>
  <c r="L567" i="5"/>
  <c r="J567" i="5"/>
  <c r="I567" i="5"/>
  <c r="I285" i="5"/>
  <c r="L1512" i="5"/>
  <c r="I1512" i="5"/>
  <c r="L51" i="5"/>
  <c r="J51" i="5"/>
  <c r="I51" i="5"/>
  <c r="L1619" i="5"/>
  <c r="I1619" i="5"/>
  <c r="L199" i="5"/>
  <c r="L734" i="5"/>
  <c r="J734" i="5"/>
  <c r="I734" i="5"/>
  <c r="L265" i="5"/>
  <c r="I265" i="5"/>
  <c r="L824" i="5"/>
  <c r="I824" i="5"/>
  <c r="L706" i="5"/>
  <c r="J706" i="5"/>
  <c r="I706" i="5"/>
  <c r="L272" i="5"/>
  <c r="J272" i="5"/>
  <c r="I272" i="5"/>
  <c r="L1111" i="5"/>
  <c r="J1111" i="5"/>
  <c r="I1111" i="5"/>
  <c r="L1240" i="5"/>
  <c r="J1240" i="5"/>
  <c r="I1240" i="5"/>
  <c r="L1607" i="5"/>
  <c r="J1607" i="5"/>
  <c r="I1607" i="5"/>
  <c r="L1125" i="5"/>
  <c r="J1125" i="5"/>
  <c r="I1125" i="5"/>
  <c r="L713" i="5"/>
  <c r="J713" i="5"/>
  <c r="I713" i="5"/>
  <c r="L1557" i="5"/>
  <c r="J1557" i="5"/>
  <c r="I1557" i="5"/>
  <c r="L140" i="5"/>
  <c r="J140" i="5"/>
  <c r="I140" i="5"/>
  <c r="L860" i="5"/>
  <c r="J860" i="5"/>
  <c r="I860" i="5"/>
  <c r="L1135" i="5"/>
  <c r="I1135" i="5"/>
  <c r="L878" i="5"/>
  <c r="J878" i="5"/>
  <c r="I878" i="5"/>
  <c r="L1019" i="5"/>
  <c r="J1019" i="5"/>
  <c r="I1019" i="5"/>
  <c r="L28" i="5"/>
  <c r="J28" i="5"/>
  <c r="I28" i="5"/>
  <c r="L60" i="5"/>
  <c r="J60" i="5"/>
  <c r="I60" i="5"/>
  <c r="L1107" i="5"/>
  <c r="I1107" i="5"/>
  <c r="L232" i="5"/>
  <c r="I232" i="5"/>
  <c r="L1540" i="5"/>
  <c r="I1540" i="5"/>
  <c r="L1478" i="5"/>
  <c r="I1478" i="5"/>
  <c r="L30" i="5"/>
  <c r="I30" i="5"/>
  <c r="L44" i="5"/>
  <c r="J44" i="5"/>
  <c r="I44" i="5"/>
  <c r="L143" i="5"/>
  <c r="J143" i="5"/>
  <c r="I143" i="5"/>
  <c r="L782" i="5"/>
  <c r="J782" i="5"/>
  <c r="I782" i="5"/>
  <c r="L1393" i="5"/>
  <c r="J1393" i="5"/>
  <c r="I1393" i="5"/>
  <c r="L1322" i="5"/>
  <c r="J1322" i="5"/>
  <c r="I1322" i="5"/>
  <c r="L1710" i="5"/>
  <c r="I1710" i="5"/>
  <c r="L866" i="5"/>
  <c r="I866" i="5"/>
  <c r="L1656" i="5"/>
  <c r="I1656" i="5"/>
  <c r="L1716" i="5"/>
  <c r="I1716" i="5"/>
  <c r="L1062" i="5"/>
  <c r="J1062" i="5"/>
  <c r="I1062" i="5"/>
  <c r="L249" i="5"/>
  <c r="J249" i="5"/>
  <c r="I249" i="5"/>
  <c r="L158" i="5"/>
  <c r="J158" i="5"/>
  <c r="I158" i="5"/>
  <c r="L8" i="5"/>
  <c r="J8" i="5"/>
  <c r="I8" i="5"/>
  <c r="L1259" i="5"/>
  <c r="J1259" i="5"/>
  <c r="I1259" i="5"/>
  <c r="L1590" i="5"/>
  <c r="J1590" i="5"/>
  <c r="I1590" i="5"/>
  <c r="L1250" i="5"/>
  <c r="J1250" i="5"/>
  <c r="I1250" i="5"/>
  <c r="L657" i="5"/>
  <c r="J657" i="5"/>
  <c r="I657" i="5"/>
  <c r="L592" i="5"/>
  <c r="J592" i="5"/>
  <c r="I592" i="5"/>
  <c r="L282" i="5"/>
  <c r="I282" i="5"/>
  <c r="L1065" i="5"/>
  <c r="I1065" i="5"/>
  <c r="L949" i="5"/>
  <c r="J949" i="5"/>
  <c r="I949" i="5"/>
  <c r="L1548" i="5"/>
  <c r="J1548" i="5"/>
  <c r="I1548" i="5"/>
  <c r="L529" i="5"/>
  <c r="J529" i="5"/>
  <c r="I529" i="5"/>
  <c r="L1490" i="5"/>
  <c r="J1490" i="5"/>
  <c r="I1490" i="5"/>
  <c r="L576" i="5"/>
  <c r="J576" i="5"/>
  <c r="I576" i="5"/>
  <c r="L22" i="5"/>
  <c r="I22" i="5"/>
  <c r="L637" i="5"/>
  <c r="J637" i="5"/>
  <c r="I637" i="5"/>
  <c r="L498" i="5"/>
  <c r="J498" i="5"/>
  <c r="I498" i="5"/>
  <c r="L231" i="5"/>
  <c r="J231" i="5"/>
  <c r="I231" i="5"/>
  <c r="L1679" i="5"/>
  <c r="J1679" i="5"/>
  <c r="I1679" i="5"/>
  <c r="L1592" i="5"/>
  <c r="I1592" i="5"/>
  <c r="L420" i="5"/>
  <c r="I420" i="5"/>
  <c r="L1600" i="5"/>
  <c r="J1600" i="5"/>
  <c r="I1600" i="5"/>
  <c r="L712" i="5"/>
  <c r="J712" i="5"/>
  <c r="I712" i="5"/>
  <c r="L686" i="5"/>
  <c r="J686" i="5"/>
  <c r="I686" i="5"/>
  <c r="L1494" i="5"/>
  <c r="J1494" i="5"/>
  <c r="I1494" i="5"/>
  <c r="L670" i="5"/>
  <c r="I670" i="5"/>
  <c r="L302" i="5"/>
  <c r="J302" i="5"/>
  <c r="I302" i="5"/>
  <c r="L382" i="5"/>
  <c r="J382" i="5"/>
  <c r="I382" i="5"/>
  <c r="L1757" i="5"/>
  <c r="J1757" i="5"/>
  <c r="I1757" i="5"/>
  <c r="L635" i="5"/>
  <c r="J635" i="5"/>
  <c r="I635" i="5"/>
  <c r="L1296" i="5"/>
  <c r="J1296" i="5"/>
  <c r="I1296" i="5"/>
  <c r="L53" i="5"/>
  <c r="J53" i="5"/>
  <c r="I53" i="5"/>
  <c r="L751" i="5"/>
  <c r="J751" i="5"/>
  <c r="I751" i="5"/>
  <c r="L889" i="5"/>
  <c r="J889" i="5"/>
  <c r="I889" i="5"/>
  <c r="L820" i="5"/>
  <c r="J820" i="5"/>
  <c r="I820" i="5"/>
  <c r="L235" i="5"/>
  <c r="J235" i="5"/>
  <c r="I235" i="5"/>
  <c r="L1009" i="5"/>
  <c r="J1009" i="5"/>
  <c r="I1009" i="5"/>
  <c r="L310" i="5"/>
  <c r="J310" i="5"/>
  <c r="I310" i="5"/>
  <c r="L255" i="5"/>
  <c r="J255" i="5"/>
  <c r="I255" i="5"/>
  <c r="L1538" i="5"/>
  <c r="J1538" i="5"/>
  <c r="I1538" i="5"/>
  <c r="L981" i="5"/>
  <c r="J981" i="5"/>
  <c r="I981" i="5"/>
  <c r="L695" i="5"/>
  <c r="I695" i="5"/>
  <c r="L983" i="5"/>
  <c r="J983" i="5"/>
  <c r="I983" i="5"/>
  <c r="L1438" i="5"/>
  <c r="J1438" i="5"/>
  <c r="I1438" i="5"/>
  <c r="L107" i="5"/>
  <c r="J107" i="5"/>
  <c r="I107" i="5"/>
  <c r="L704" i="5"/>
  <c r="J704" i="5"/>
  <c r="I704" i="5"/>
  <c r="L309" i="5"/>
  <c r="J309" i="5"/>
  <c r="I309" i="5"/>
  <c r="L92" i="5"/>
  <c r="J92" i="5"/>
  <c r="I92" i="5"/>
  <c r="L1166" i="5"/>
  <c r="J1166" i="5"/>
  <c r="I1166" i="5"/>
  <c r="L163" i="5"/>
  <c r="J163" i="5"/>
  <c r="I163" i="5"/>
  <c r="J1231" i="5"/>
  <c r="I1231" i="5"/>
  <c r="L1308" i="5"/>
  <c r="I1308" i="5"/>
  <c r="L1586" i="5"/>
  <c r="I1586" i="5"/>
  <c r="L1033" i="5"/>
  <c r="J1033" i="5"/>
  <c r="I1033" i="5"/>
  <c r="L837" i="5"/>
  <c r="I837" i="5"/>
  <c r="L490" i="5"/>
  <c r="I490" i="5"/>
  <c r="L1225" i="5"/>
  <c r="I1225" i="5"/>
  <c r="L1516" i="5"/>
  <c r="J1516" i="5"/>
  <c r="I1516" i="5"/>
  <c r="L487" i="5"/>
  <c r="J487" i="5"/>
  <c r="I487" i="5"/>
  <c r="L1048" i="5"/>
  <c r="J1048" i="5"/>
  <c r="I1048" i="5"/>
  <c r="L1257" i="5"/>
  <c r="I1257" i="5"/>
  <c r="L410" i="5"/>
  <c r="I410" i="5"/>
  <c r="L1293" i="5"/>
  <c r="I1293" i="5"/>
  <c r="L638" i="5"/>
  <c r="I638" i="5"/>
  <c r="L680" i="5"/>
  <c r="J680" i="5"/>
  <c r="I680" i="5"/>
  <c r="L698" i="5"/>
  <c r="J698" i="5"/>
  <c r="I698" i="5"/>
  <c r="L1211" i="5"/>
  <c r="J1211" i="5"/>
  <c r="I1211" i="5"/>
  <c r="L240" i="5"/>
  <c r="J240" i="5"/>
  <c r="I240" i="5"/>
  <c r="L901" i="5"/>
  <c r="I901" i="5"/>
  <c r="L492" i="5"/>
  <c r="I492" i="5"/>
  <c r="L1171" i="5"/>
  <c r="I1171" i="5"/>
  <c r="L1128" i="5"/>
  <c r="J1128" i="5"/>
  <c r="I1128" i="5"/>
  <c r="L1577" i="5"/>
  <c r="I1577" i="5"/>
  <c r="L369" i="5"/>
  <c r="J369" i="5"/>
  <c r="I369" i="5"/>
  <c r="L933" i="5"/>
  <c r="J933" i="5"/>
  <c r="I933" i="5"/>
  <c r="L1040" i="5"/>
  <c r="I1040" i="5"/>
  <c r="L721" i="5"/>
  <c r="I721" i="5"/>
  <c r="L1334" i="5"/>
  <c r="I1334" i="5"/>
  <c r="L5" i="5"/>
  <c r="I5" i="5"/>
  <c r="L921" i="5"/>
  <c r="J921" i="5"/>
  <c r="I921" i="5"/>
  <c r="L1228" i="5"/>
  <c r="I1228" i="5"/>
  <c r="L1714" i="5"/>
  <c r="J1714" i="5"/>
  <c r="I1714" i="5"/>
  <c r="L1341" i="5"/>
  <c r="J1341" i="5"/>
  <c r="I1341" i="5"/>
  <c r="L1549" i="5"/>
  <c r="J1549" i="5"/>
  <c r="I1549" i="5"/>
  <c r="L1684" i="5"/>
  <c r="J1684" i="5"/>
  <c r="I1684" i="5"/>
  <c r="L1098" i="5"/>
  <c r="J1098" i="5"/>
  <c r="I1098" i="5"/>
  <c r="L1377" i="5"/>
  <c r="I1377" i="5"/>
  <c r="L1735" i="5"/>
  <c r="J1735" i="5"/>
  <c r="I1735" i="5"/>
  <c r="L537" i="5"/>
  <c r="I537" i="5"/>
  <c r="L1193" i="5"/>
  <c r="I1193" i="5"/>
  <c r="L16" i="5"/>
  <c r="I16" i="5"/>
  <c r="L201" i="5"/>
  <c r="J201" i="5"/>
  <c r="I201" i="5"/>
  <c r="L1073" i="5"/>
  <c r="L894" i="5"/>
  <c r="I894" i="5"/>
  <c r="L1025" i="5"/>
  <c r="J1025" i="5"/>
  <c r="I1025" i="5"/>
  <c r="L997" i="5"/>
  <c r="J997" i="5"/>
  <c r="I997" i="5"/>
  <c r="L436" i="5"/>
  <c r="J436" i="5"/>
  <c r="I436" i="5"/>
  <c r="L688" i="5"/>
  <c r="J688" i="5"/>
  <c r="I688" i="5"/>
  <c r="L400" i="5"/>
  <c r="I400" i="5"/>
  <c r="L1258" i="5"/>
  <c r="J1258" i="5"/>
  <c r="I1258" i="5"/>
  <c r="L500" i="5"/>
  <c r="J500" i="5"/>
  <c r="I500" i="5"/>
  <c r="L938" i="5"/>
  <c r="J938" i="5"/>
  <c r="I938" i="5"/>
  <c r="L467" i="5"/>
  <c r="J467" i="5"/>
  <c r="I467" i="5"/>
  <c r="L906" i="5"/>
  <c r="I906" i="5"/>
  <c r="L323" i="5"/>
  <c r="I323" i="5"/>
  <c r="L1290" i="5"/>
  <c r="J1290" i="5"/>
  <c r="I1290" i="5"/>
  <c r="L1648" i="5"/>
  <c r="I1648" i="5"/>
  <c r="L1670" i="5"/>
  <c r="J1670" i="5"/>
  <c r="I1670" i="5"/>
  <c r="L518" i="5"/>
  <c r="J518" i="5"/>
  <c r="I518" i="5"/>
  <c r="L1701" i="5"/>
  <c r="J1701" i="5"/>
  <c r="I1701" i="5"/>
  <c r="L1280" i="5"/>
  <c r="J1280" i="5"/>
  <c r="I1280" i="5"/>
  <c r="L1465" i="5"/>
  <c r="J1465" i="5"/>
  <c r="I1465" i="5"/>
  <c r="L1745" i="5"/>
  <c r="J1745" i="5"/>
  <c r="I1745" i="5"/>
  <c r="L994" i="5"/>
  <c r="I994" i="5"/>
  <c r="L329" i="5"/>
  <c r="J329" i="5"/>
  <c r="I329" i="5"/>
  <c r="L450" i="5"/>
  <c r="J450" i="5"/>
  <c r="I450" i="5"/>
  <c r="L1646" i="5"/>
  <c r="J1646" i="5"/>
  <c r="I1646" i="5"/>
  <c r="L145" i="5"/>
  <c r="I145" i="5"/>
  <c r="L1162" i="5"/>
  <c r="I1162" i="5"/>
  <c r="L34" i="5"/>
  <c r="J34" i="5"/>
  <c r="I34" i="5"/>
  <c r="L278" i="5"/>
  <c r="I278" i="5"/>
  <c r="L631" i="5"/>
  <c r="J631" i="5"/>
  <c r="I631" i="5"/>
  <c r="L20" i="5"/>
  <c r="I20" i="5"/>
  <c r="L18" i="5"/>
  <c r="I18" i="5"/>
  <c r="L1650" i="5"/>
  <c r="J1650" i="5"/>
  <c r="I1650" i="5"/>
  <c r="L17" i="5"/>
  <c r="I17" i="5"/>
  <c r="L1602" i="5"/>
  <c r="I1602" i="5"/>
  <c r="L104" i="5"/>
  <c r="J104" i="5"/>
  <c r="I104" i="5"/>
  <c r="L1669" i="5"/>
  <c r="J1669" i="5"/>
  <c r="I1669" i="5"/>
  <c r="L1521" i="5"/>
  <c r="J1521" i="5"/>
  <c r="I1521" i="5"/>
  <c r="L1304" i="5"/>
  <c r="J1304" i="5"/>
  <c r="I1304" i="5"/>
  <c r="L1035" i="5"/>
  <c r="J1035" i="5"/>
  <c r="I1035" i="5"/>
  <c r="L457" i="5"/>
  <c r="I457" i="5"/>
  <c r="L624" i="5"/>
  <c r="I624" i="5"/>
  <c r="L969" i="5"/>
  <c r="I969" i="5"/>
  <c r="L737" i="5"/>
  <c r="I737" i="5"/>
  <c r="L1188" i="5"/>
  <c r="I1188" i="5"/>
  <c r="L1663" i="5"/>
  <c r="I1663" i="5"/>
  <c r="L708" i="5"/>
  <c r="J708" i="5"/>
  <c r="I708" i="5"/>
  <c r="L1051" i="5"/>
  <c r="J1051" i="5"/>
  <c r="I1051" i="5"/>
  <c r="L1736" i="5"/>
  <c r="J1736" i="5"/>
  <c r="I1736" i="5"/>
  <c r="L52" i="5"/>
  <c r="J52" i="5"/>
  <c r="I52" i="5"/>
  <c r="L1638" i="5"/>
  <c r="I1638" i="5"/>
  <c r="L1177" i="5"/>
  <c r="J1177" i="5"/>
  <c r="I1177" i="5"/>
  <c r="L648" i="5"/>
  <c r="I648" i="5"/>
  <c r="L923" i="5"/>
  <c r="J923" i="5"/>
  <c r="I923" i="5"/>
  <c r="L760" i="5"/>
  <c r="J760" i="5"/>
  <c r="I760" i="5"/>
  <c r="L1491" i="5"/>
  <c r="J1491" i="5"/>
  <c r="I1491" i="5"/>
  <c r="L1383" i="5"/>
  <c r="J1383" i="5"/>
  <c r="I1383" i="5"/>
  <c r="L1647" i="5"/>
  <c r="I1647" i="5"/>
  <c r="L1350" i="5"/>
  <c r="I1350" i="5"/>
  <c r="L1420" i="5"/>
  <c r="I1420" i="5"/>
  <c r="L1699" i="5"/>
  <c r="J1699" i="5"/>
  <c r="I1699" i="5"/>
  <c r="L1276" i="5"/>
  <c r="J1276" i="5"/>
  <c r="I1276" i="5"/>
  <c r="L1755" i="5"/>
  <c r="J1755" i="5"/>
  <c r="I1755" i="5"/>
  <c r="L1652" i="5"/>
  <c r="J1652" i="5"/>
  <c r="I1652" i="5"/>
  <c r="L1497" i="5"/>
  <c r="I1497" i="5"/>
  <c r="L1379" i="5"/>
  <c r="I1379" i="5"/>
  <c r="L628" i="5"/>
  <c r="J628" i="5"/>
  <c r="I628" i="5"/>
  <c r="L1347" i="5"/>
  <c r="J1347" i="5"/>
  <c r="I1347" i="5"/>
  <c r="L1569" i="5"/>
  <c r="J1569" i="5"/>
  <c r="I1569" i="5"/>
  <c r="L1182" i="5"/>
  <c r="J1182" i="5"/>
  <c r="I1182" i="5"/>
  <c r="L843" i="5"/>
  <c r="I843" i="5"/>
  <c r="L915" i="5"/>
  <c r="I915" i="5"/>
  <c r="L1102" i="5"/>
  <c r="I1102" i="5"/>
  <c r="L1223" i="5"/>
  <c r="J1223" i="5"/>
  <c r="I1223" i="5"/>
  <c r="L1722" i="5"/>
  <c r="I1722" i="5"/>
  <c r="L1248" i="5"/>
  <c r="J1248" i="5"/>
  <c r="I1248" i="5"/>
  <c r="L980" i="5"/>
  <c r="I980" i="5"/>
  <c r="L351" i="5"/>
  <c r="I351" i="5"/>
  <c r="L427" i="5"/>
  <c r="J427" i="5"/>
  <c r="I427" i="5"/>
  <c r="L1486" i="5"/>
  <c r="I1486" i="5"/>
  <c r="L245" i="5"/>
  <c r="J245" i="5"/>
  <c r="I245" i="5"/>
  <c r="L1440" i="5"/>
  <c r="J1440" i="5"/>
  <c r="I1440" i="5"/>
  <c r="L1460" i="5"/>
  <c r="J1460" i="5"/>
  <c r="I1460" i="5"/>
  <c r="L117" i="5"/>
  <c r="I117" i="5"/>
  <c r="L59" i="5"/>
  <c r="J59" i="5"/>
  <c r="I59" i="5"/>
  <c r="L169" i="5"/>
  <c r="J169" i="5"/>
  <c r="I169" i="5"/>
  <c r="L1682" i="5"/>
  <c r="I1682" i="5"/>
  <c r="L663" i="5"/>
  <c r="J663" i="5"/>
  <c r="I663" i="5"/>
  <c r="L134" i="5"/>
  <c r="J134" i="5"/>
  <c r="I134" i="5"/>
  <c r="L1278" i="5"/>
  <c r="J1278" i="5"/>
  <c r="I1278" i="5"/>
  <c r="L1456" i="5"/>
  <c r="J1456" i="5"/>
  <c r="I1456" i="5"/>
  <c r="L223" i="5"/>
  <c r="J223" i="5"/>
  <c r="I223" i="5"/>
  <c r="L978" i="5"/>
  <c r="I978" i="5"/>
  <c r="L1229" i="5"/>
  <c r="I1229" i="5"/>
  <c r="L600" i="5"/>
  <c r="J600" i="5"/>
  <c r="I600" i="5"/>
  <c r="L1407" i="5"/>
  <c r="J1407" i="5"/>
  <c r="I1407" i="5"/>
  <c r="L932" i="5"/>
  <c r="I932" i="5"/>
  <c r="L610" i="5"/>
  <c r="J610" i="5"/>
  <c r="I610" i="5"/>
  <c r="L357" i="5"/>
  <c r="I357" i="5"/>
  <c r="L1653" i="5"/>
  <c r="J1653" i="5"/>
  <c r="I1653" i="5"/>
  <c r="L1087" i="5"/>
  <c r="J1087" i="5"/>
  <c r="I1087" i="5"/>
  <c r="L730" i="5"/>
  <c r="J730" i="5"/>
  <c r="I730" i="5"/>
  <c r="L679" i="5"/>
  <c r="J679" i="5"/>
  <c r="I679" i="5"/>
  <c r="L344" i="5"/>
  <c r="J344" i="5"/>
  <c r="I344" i="5"/>
  <c r="L1011" i="5"/>
  <c r="I1011" i="5"/>
  <c r="L1473" i="5"/>
  <c r="I1473" i="5"/>
  <c r="L1617" i="5"/>
  <c r="I1617" i="5"/>
  <c r="L839" i="5"/>
  <c r="I839" i="5"/>
  <c r="L135" i="5"/>
  <c r="J135" i="5"/>
  <c r="I135" i="5"/>
  <c r="L481" i="5"/>
  <c r="J481" i="5"/>
  <c r="I481" i="5"/>
  <c r="L1090" i="5"/>
  <c r="J1090" i="5"/>
  <c r="I1090" i="5"/>
  <c r="L516" i="5"/>
  <c r="I516" i="5"/>
  <c r="L1152" i="5"/>
  <c r="J1152" i="5"/>
  <c r="I1152" i="5"/>
  <c r="L769" i="5"/>
  <c r="I769" i="5"/>
  <c r="L489" i="5"/>
  <c r="J489" i="5"/>
  <c r="I489" i="5"/>
  <c r="L699" i="5"/>
  <c r="I699" i="5"/>
  <c r="L435" i="5"/>
  <c r="I435" i="5"/>
  <c r="L830" i="5"/>
  <c r="J830" i="5"/>
  <c r="I830" i="5"/>
  <c r="L1215" i="5"/>
  <c r="J1215" i="5"/>
  <c r="I1215" i="5"/>
  <c r="L1609" i="5"/>
  <c r="I1609" i="5"/>
  <c r="L513" i="5"/>
  <c r="I513" i="5"/>
  <c r="L1574" i="5"/>
  <c r="J1574" i="5"/>
  <c r="I1574" i="5"/>
  <c r="L1159" i="5"/>
  <c r="I1159" i="5"/>
  <c r="L976" i="5"/>
  <c r="J976" i="5"/>
  <c r="I976" i="5"/>
  <c r="L1462" i="5"/>
  <c r="J1462" i="5"/>
  <c r="I1462" i="5"/>
  <c r="L1717" i="5"/>
  <c r="J1717" i="5"/>
  <c r="I1717" i="5"/>
  <c r="L900" i="5"/>
  <c r="J900" i="5"/>
  <c r="I900" i="5"/>
  <c r="L1126" i="5"/>
  <c r="I1126" i="5"/>
  <c r="L1543" i="5"/>
  <c r="J1543" i="5"/>
  <c r="I1543" i="5"/>
  <c r="L955" i="5"/>
  <c r="J955" i="5"/>
  <c r="I955" i="5"/>
  <c r="L1158" i="5"/>
  <c r="J1158" i="5"/>
  <c r="I1158" i="5"/>
  <c r="L1718" i="5"/>
  <c r="J1718" i="5"/>
  <c r="I1718" i="5"/>
  <c r="L948" i="5"/>
  <c r="J948" i="5"/>
  <c r="I948" i="5"/>
  <c r="L9" i="5"/>
  <c r="J9" i="5"/>
  <c r="I9" i="5"/>
  <c r="L472" i="5"/>
  <c r="J472" i="5"/>
  <c r="I472" i="5"/>
  <c r="L1064" i="5"/>
  <c r="I1064" i="5"/>
  <c r="L559" i="5"/>
  <c r="J559" i="5"/>
  <c r="I559" i="5"/>
  <c r="L136" i="5"/>
  <c r="J136" i="5"/>
  <c r="I136" i="5"/>
  <c r="L139" i="5"/>
  <c r="J139" i="5"/>
  <c r="I139" i="5"/>
  <c r="L300" i="5"/>
  <c r="J300" i="5"/>
  <c r="I300" i="5"/>
  <c r="L389" i="5"/>
  <c r="J389" i="5"/>
  <c r="I389" i="5"/>
  <c r="L683" i="5"/>
  <c r="I683" i="5"/>
  <c r="L936" i="5"/>
  <c r="J936" i="5"/>
  <c r="I936" i="5"/>
  <c r="L588" i="5"/>
  <c r="I588" i="5"/>
  <c r="L425" i="5"/>
  <c r="I425" i="5"/>
  <c r="L1533" i="5"/>
  <c r="J1533" i="5"/>
  <c r="I1533" i="5"/>
  <c r="L1636" i="5"/>
  <c r="J1636" i="5"/>
  <c r="I1636" i="5"/>
  <c r="L1744" i="5"/>
  <c r="J1744" i="5"/>
  <c r="I1744" i="5"/>
  <c r="L1463" i="5"/>
  <c r="J1463" i="5"/>
  <c r="I1463" i="5"/>
  <c r="L1085" i="5"/>
  <c r="J1085" i="5"/>
  <c r="I1085" i="5"/>
  <c r="L1698" i="5"/>
  <c r="I1698" i="5"/>
  <c r="L1452" i="5"/>
  <c r="J1452" i="5"/>
  <c r="I1452" i="5"/>
  <c r="L745" i="5"/>
  <c r="J745" i="5"/>
  <c r="I745" i="5"/>
  <c r="L822" i="5"/>
  <c r="I822" i="5"/>
  <c r="L1397" i="5"/>
  <c r="I1397" i="5"/>
  <c r="L328" i="5"/>
  <c r="I328" i="5"/>
  <c r="L1233" i="5"/>
  <c r="J1233" i="5"/>
  <c r="I1233" i="5"/>
  <c r="L1313" i="5"/>
  <c r="J1313" i="5"/>
  <c r="I1313" i="5"/>
  <c r="L1443" i="5"/>
  <c r="J1443" i="5"/>
  <c r="I1443" i="5"/>
  <c r="L1045" i="5"/>
  <c r="J1045" i="5"/>
  <c r="I1045" i="5"/>
  <c r="L110" i="5"/>
  <c r="J110" i="5"/>
  <c r="I110" i="5"/>
  <c r="L726" i="5"/>
  <c r="L1404" i="5"/>
  <c r="I1404" i="5"/>
  <c r="L905" i="5"/>
  <c r="I905" i="5"/>
  <c r="L1376" i="5"/>
  <c r="I1376" i="5"/>
  <c r="L731" i="5"/>
  <c r="J731" i="5"/>
  <c r="I731" i="5"/>
  <c r="L95" i="5"/>
  <c r="J95" i="5"/>
  <c r="I95" i="5"/>
  <c r="L572" i="5"/>
  <c r="J572" i="5"/>
  <c r="I572" i="5"/>
  <c r="L202" i="5"/>
  <c r="J202" i="5"/>
  <c r="I202" i="5"/>
  <c r="L451" i="5"/>
  <c r="J451" i="5"/>
  <c r="I451" i="5"/>
  <c r="L321" i="5"/>
  <c r="J321" i="5"/>
  <c r="I321" i="5"/>
  <c r="L620" i="5"/>
  <c r="I620" i="5"/>
  <c r="L719" i="5"/>
  <c r="I719" i="5"/>
  <c r="L929" i="5"/>
  <c r="I929" i="5"/>
  <c r="L999" i="5"/>
  <c r="J999" i="5"/>
  <c r="I999" i="5"/>
  <c r="L478" i="5"/>
  <c r="J478" i="5"/>
  <c r="I478" i="5"/>
  <c r="L1568" i="5"/>
  <c r="I1568" i="5"/>
  <c r="L1132" i="5"/>
  <c r="I1132" i="5"/>
  <c r="L1242" i="5"/>
  <c r="I1242" i="5"/>
  <c r="L1581" i="5"/>
  <c r="J1581" i="5"/>
  <c r="I1581" i="5"/>
  <c r="L795" i="5"/>
  <c r="J795" i="5"/>
  <c r="I795" i="5"/>
  <c r="L1689" i="5"/>
  <c r="J1689" i="5"/>
  <c r="I1689" i="5"/>
  <c r="L1006" i="5"/>
  <c r="J1006" i="5"/>
  <c r="I1006" i="5"/>
  <c r="L1219" i="5"/>
  <c r="J1219" i="5"/>
  <c r="I1219" i="5"/>
  <c r="L1408" i="5"/>
  <c r="J1408" i="5"/>
  <c r="I1408" i="5"/>
  <c r="L1615" i="5"/>
  <c r="J1615" i="5"/>
  <c r="I1615" i="5"/>
  <c r="L1475" i="5"/>
  <c r="J1475" i="5"/>
  <c r="I1475" i="5"/>
  <c r="L723" i="5"/>
  <c r="J723" i="5"/>
  <c r="I723" i="5"/>
  <c r="L463" i="5"/>
  <c r="J463" i="5"/>
  <c r="I463" i="5"/>
  <c r="L881" i="5"/>
  <c r="J881" i="5"/>
  <c r="I881" i="5"/>
  <c r="L1046" i="5"/>
  <c r="I1046" i="5"/>
  <c r="L1212" i="5"/>
  <c r="J1212" i="5"/>
  <c r="I1212" i="5"/>
  <c r="L434" i="5"/>
  <c r="J434" i="5"/>
  <c r="I434" i="5"/>
  <c r="L1305" i="5"/>
  <c r="I1305" i="5"/>
  <c r="L589" i="5"/>
  <c r="J589" i="5"/>
  <c r="I589" i="5"/>
  <c r="L1655" i="5"/>
  <c r="I1655" i="5"/>
  <c r="L1628" i="5"/>
  <c r="J1628" i="5"/>
  <c r="I1628" i="5"/>
  <c r="L1705" i="5"/>
  <c r="J1705" i="5"/>
  <c r="I1705" i="5"/>
  <c r="L1326" i="5"/>
  <c r="I1326" i="5"/>
  <c r="L371" i="5"/>
  <c r="J371" i="5"/>
  <c r="I371" i="5"/>
  <c r="L1509" i="5"/>
  <c r="J1509" i="5"/>
  <c r="I1509" i="5"/>
  <c r="L1431" i="5"/>
  <c r="J1431" i="5"/>
  <c r="I1431" i="5"/>
  <c r="L1728" i="5"/>
  <c r="I1728" i="5"/>
  <c r="L755" i="5"/>
  <c r="J755" i="5"/>
  <c r="I755" i="5"/>
  <c r="L1488" i="5"/>
  <c r="J1488" i="5"/>
  <c r="I1488" i="5"/>
  <c r="L1479" i="5"/>
  <c r="I1479" i="5"/>
  <c r="L1122" i="5"/>
  <c r="J1122" i="5"/>
  <c r="I1122" i="5"/>
  <c r="L305" i="5"/>
  <c r="I305" i="5"/>
  <c r="L1366" i="5"/>
  <c r="J1366" i="5"/>
  <c r="I1366" i="5"/>
  <c r="L343" i="5"/>
  <c r="J343" i="5"/>
  <c r="I343" i="5"/>
  <c r="L1216" i="5"/>
  <c r="J1216" i="5"/>
  <c r="I1216" i="5"/>
  <c r="L1306" i="5"/>
  <c r="J1306" i="5"/>
  <c r="I1306" i="5"/>
  <c r="L96" i="5"/>
  <c r="J96" i="5"/>
  <c r="I96" i="5"/>
  <c r="L1616" i="5"/>
  <c r="J1616" i="5"/>
  <c r="I1616" i="5"/>
  <c r="L738" i="5"/>
  <c r="J738" i="5"/>
  <c r="I738" i="5"/>
  <c r="L1292" i="5"/>
  <c r="J1292" i="5"/>
  <c r="I1292" i="5"/>
  <c r="L398" i="5"/>
  <c r="J398" i="5"/>
  <c r="I398" i="5"/>
  <c r="L1731" i="5"/>
  <c r="I1731" i="5"/>
  <c r="L652" i="5"/>
  <c r="J652" i="5"/>
  <c r="I652" i="5"/>
  <c r="L259" i="5"/>
  <c r="J259" i="5"/>
  <c r="I259" i="5"/>
  <c r="L1143" i="5"/>
  <c r="I1143" i="5"/>
  <c r="L741" i="5"/>
  <c r="J741" i="5"/>
  <c r="I741" i="5"/>
  <c r="L595" i="5"/>
  <c r="J595" i="5"/>
  <c r="I595" i="5"/>
  <c r="L581" i="5"/>
  <c r="J581" i="5"/>
  <c r="I581" i="5"/>
  <c r="L1314" i="5"/>
  <c r="I1314" i="5"/>
  <c r="L974" i="5"/>
  <c r="J974" i="5"/>
  <c r="I974" i="5"/>
  <c r="L247" i="4"/>
  <c r="J247" i="4"/>
  <c r="I247" i="4"/>
  <c r="L675" i="4"/>
  <c r="I675" i="4"/>
  <c r="L1288" i="4"/>
  <c r="J1288" i="4"/>
  <c r="I1288" i="4"/>
  <c r="L45" i="4"/>
  <c r="J45" i="4"/>
  <c r="I45" i="4"/>
  <c r="L276" i="4"/>
  <c r="I276" i="4"/>
  <c r="L364" i="4"/>
  <c r="J364" i="4"/>
  <c r="I364" i="4"/>
  <c r="L848" i="4"/>
  <c r="J848" i="4"/>
  <c r="I848" i="4"/>
  <c r="L1124" i="4"/>
  <c r="J1124" i="4"/>
  <c r="I1124" i="4"/>
  <c r="L162" i="4"/>
  <c r="J162" i="4"/>
  <c r="I162" i="4"/>
  <c r="L976" i="4"/>
  <c r="I976" i="4"/>
  <c r="L199" i="4"/>
  <c r="J199" i="4"/>
  <c r="I199" i="4"/>
  <c r="L172" i="4"/>
  <c r="J172" i="4"/>
  <c r="I172" i="4"/>
  <c r="L169" i="4"/>
  <c r="J169" i="4"/>
  <c r="I169" i="4"/>
  <c r="L1182" i="4"/>
  <c r="J1182" i="4"/>
  <c r="I1182" i="4"/>
  <c r="L893" i="4"/>
  <c r="I893" i="4"/>
  <c r="L1581" i="4"/>
  <c r="J1581" i="4"/>
  <c r="I1581" i="4"/>
  <c r="L1561" i="4"/>
  <c r="I1561" i="4"/>
  <c r="L46" i="4"/>
  <c r="J46" i="4"/>
  <c r="I46" i="4"/>
  <c r="L476" i="4"/>
  <c r="L346" i="4"/>
  <c r="L1048" i="4"/>
  <c r="I1048" i="4"/>
  <c r="L1136" i="4"/>
  <c r="I1136" i="4"/>
  <c r="L933" i="4"/>
  <c r="I933" i="4"/>
  <c r="L448" i="4"/>
  <c r="I448" i="4"/>
  <c r="J1265" i="4"/>
  <c r="I1265" i="4"/>
  <c r="J77" i="4"/>
  <c r="I77" i="4"/>
  <c r="L657" i="4"/>
  <c r="J657" i="4"/>
  <c r="I657" i="4"/>
  <c r="J899" i="4"/>
  <c r="I899" i="4"/>
  <c r="L253" i="4"/>
  <c r="J253" i="4"/>
  <c r="I253" i="4"/>
  <c r="L348" i="4"/>
  <c r="L546" i="4"/>
  <c r="J546" i="4"/>
  <c r="I546" i="4"/>
  <c r="L1108" i="4"/>
  <c r="L1680" i="4"/>
  <c r="J1680" i="4"/>
  <c r="I1680" i="4"/>
  <c r="L1482" i="4"/>
  <c r="J1482" i="4"/>
  <c r="I1482" i="4"/>
  <c r="L1472" i="4"/>
  <c r="L1122" i="4"/>
  <c r="I1122" i="4"/>
  <c r="L490" i="4"/>
  <c r="I490" i="4"/>
  <c r="L600" i="4"/>
  <c r="I600" i="4"/>
  <c r="L1280" i="4"/>
  <c r="I1280" i="4"/>
  <c r="L1604" i="4"/>
  <c r="I1604" i="4"/>
  <c r="L3" i="4"/>
  <c r="J3" i="4"/>
  <c r="I3" i="4"/>
  <c r="L703" i="4"/>
  <c r="I703" i="4"/>
  <c r="L610" i="4"/>
  <c r="L1077" i="4"/>
  <c r="J1077" i="4"/>
  <c r="I1077" i="4"/>
  <c r="L160" i="4"/>
  <c r="J160" i="4"/>
  <c r="I160" i="4"/>
  <c r="L584" i="4"/>
  <c r="I584" i="4"/>
  <c r="L1722" i="4"/>
  <c r="I1722" i="4"/>
  <c r="L1415" i="4"/>
  <c r="L294" i="4"/>
  <c r="I294" i="4"/>
  <c r="L290" i="4"/>
  <c r="L700" i="4"/>
  <c r="I700" i="4"/>
  <c r="L1645" i="4"/>
  <c r="J1645" i="4"/>
  <c r="I1645" i="4"/>
  <c r="L560" i="4"/>
  <c r="I560" i="4"/>
  <c r="L1156" i="4"/>
  <c r="L260" i="4"/>
  <c r="L871" i="4"/>
  <c r="I871" i="4"/>
  <c r="L807" i="4"/>
  <c r="J807" i="4"/>
  <c r="I807" i="4"/>
  <c r="L275" i="4"/>
  <c r="J275" i="4"/>
  <c r="I275" i="4"/>
  <c r="L213" i="4"/>
  <c r="L989" i="4"/>
  <c r="I989" i="4"/>
  <c r="L671" i="4"/>
  <c r="J671" i="4"/>
  <c r="I671" i="4"/>
  <c r="L581" i="4"/>
  <c r="J581" i="4"/>
  <c r="I581" i="4"/>
  <c r="L728" i="4"/>
  <c r="I728" i="4"/>
  <c r="L438" i="4"/>
  <c r="L880" i="4"/>
  <c r="I880" i="4"/>
  <c r="L1330" i="4"/>
  <c r="J1330" i="4"/>
  <c r="I1330" i="4"/>
  <c r="L1682" i="4"/>
  <c r="J1682" i="4"/>
  <c r="I1682" i="4"/>
  <c r="L662" i="4"/>
  <c r="L997" i="4"/>
  <c r="L1479" i="4"/>
  <c r="I1479" i="4"/>
  <c r="L1355" i="4"/>
  <c r="I1355" i="4"/>
  <c r="L627" i="4"/>
  <c r="I627" i="4"/>
  <c r="L215" i="4"/>
  <c r="L507" i="4"/>
  <c r="L170" i="4"/>
  <c r="J170" i="4"/>
  <c r="I170" i="4"/>
  <c r="L810" i="4"/>
  <c r="L656" i="4"/>
  <c r="I656" i="4"/>
  <c r="L1456" i="4"/>
  <c r="I1456" i="4"/>
  <c r="L739" i="4"/>
  <c r="J739" i="4"/>
  <c r="I739" i="4"/>
  <c r="L1692" i="4"/>
  <c r="L1384" i="4"/>
  <c r="J1384" i="4"/>
  <c r="I1384" i="4"/>
  <c r="L21" i="4"/>
  <c r="I21" i="4"/>
  <c r="L1075" i="4"/>
  <c r="L1497" i="4"/>
  <c r="I1497" i="4"/>
  <c r="L193" i="4"/>
  <c r="L948" i="4"/>
  <c r="L1080" i="4"/>
  <c r="J1080" i="4"/>
  <c r="I1080" i="4"/>
  <c r="L467" i="4"/>
  <c r="I467" i="4"/>
  <c r="L772" i="4"/>
  <c r="L643" i="4"/>
  <c r="J643" i="4"/>
  <c r="I643" i="4"/>
  <c r="L1507" i="4"/>
  <c r="J1507" i="4"/>
  <c r="I1507" i="4"/>
  <c r="L1630" i="4"/>
  <c r="J1630" i="4"/>
  <c r="I1630" i="4"/>
  <c r="L1207" i="4"/>
  <c r="L886" i="4"/>
  <c r="L185" i="4"/>
  <c r="J185" i="4"/>
  <c r="I185" i="4"/>
  <c r="L603" i="4"/>
  <c r="L1020" i="4"/>
  <c r="I1020" i="4"/>
  <c r="L819" i="4"/>
  <c r="I819" i="4"/>
  <c r="L408" i="4"/>
  <c r="L48" i="4"/>
  <c r="J48" i="4"/>
  <c r="I48" i="4"/>
  <c r="L4" i="4"/>
  <c r="L449" i="4"/>
  <c r="I449" i="4"/>
  <c r="L245" i="4"/>
  <c r="L388" i="4"/>
  <c r="L669" i="4"/>
  <c r="L572" i="4"/>
  <c r="L1548" i="4"/>
  <c r="L668" i="4"/>
  <c r="I668" i="4"/>
  <c r="L915" i="4"/>
  <c r="I915" i="4"/>
  <c r="L1659" i="4"/>
  <c r="J1659" i="4"/>
  <c r="I1659" i="4"/>
  <c r="L1455" i="4"/>
  <c r="I1455" i="4"/>
  <c r="L523" i="4"/>
  <c r="J523" i="4"/>
  <c r="I523" i="4"/>
  <c r="L874" i="4"/>
  <c r="L1107" i="4"/>
  <c r="I1107" i="4"/>
  <c r="L1426" i="4"/>
  <c r="L519" i="4"/>
  <c r="I519" i="4"/>
  <c r="L89" i="4"/>
  <c r="J89" i="4"/>
  <c r="I89" i="4"/>
  <c r="L702" i="4"/>
  <c r="I702" i="4"/>
  <c r="L224" i="4"/>
  <c r="L798" i="4"/>
  <c r="L1148" i="4"/>
  <c r="I1148" i="4"/>
  <c r="L1372" i="4"/>
  <c r="L908" i="4"/>
  <c r="J908" i="4"/>
  <c r="I908" i="4"/>
  <c r="L1468" i="4"/>
  <c r="I1468" i="4"/>
  <c r="L13" i="4"/>
  <c r="J13" i="4"/>
  <c r="I13" i="4"/>
  <c r="L285" i="4"/>
  <c r="I285" i="4"/>
  <c r="L910" i="4"/>
  <c r="J910" i="4"/>
  <c r="I910" i="4"/>
  <c r="L1408" i="4"/>
  <c r="L1377" i="4"/>
  <c r="J1377" i="4"/>
  <c r="I1377" i="4"/>
  <c r="L1102" i="4"/>
  <c r="I1102" i="4"/>
  <c r="L146" i="4"/>
  <c r="L829" i="4"/>
  <c r="I829" i="4"/>
  <c r="L142" i="4"/>
  <c r="I142" i="4"/>
  <c r="L1492" i="4"/>
  <c r="J1492" i="4"/>
  <c r="I1492" i="4"/>
  <c r="L794" i="4"/>
  <c r="J794" i="4"/>
  <c r="I794" i="4"/>
  <c r="L50" i="4"/>
  <c r="J50" i="4"/>
  <c r="I50" i="4"/>
  <c r="L1235" i="4"/>
  <c r="J1235" i="4"/>
  <c r="I1235" i="4"/>
  <c r="L1421" i="4"/>
  <c r="J1421" i="4"/>
  <c r="I1421" i="4"/>
  <c r="L173" i="4"/>
  <c r="J173" i="4"/>
  <c r="I173" i="4"/>
  <c r="L1410" i="4"/>
  <c r="J1410" i="4"/>
  <c r="I1410" i="4"/>
  <c r="L1071" i="4"/>
  <c r="J1071" i="4"/>
  <c r="I1071" i="4"/>
  <c r="L1162" i="4"/>
  <c r="L428" i="4"/>
  <c r="J428" i="4"/>
  <c r="I428" i="4"/>
  <c r="J1676" i="4"/>
  <c r="I1676" i="4"/>
  <c r="L1193" i="4"/>
  <c r="J1193" i="4"/>
  <c r="I1193" i="4"/>
  <c r="L1506" i="4"/>
  <c r="J1506" i="4"/>
  <c r="I1506" i="4"/>
  <c r="L1504" i="4"/>
  <c r="L266" i="4"/>
  <c r="L1350" i="4"/>
  <c r="I1350" i="4"/>
  <c r="L1730" i="4"/>
  <c r="J1730" i="4"/>
  <c r="I1730" i="4"/>
  <c r="L230" i="4"/>
  <c r="I230" i="4"/>
  <c r="L1320" i="4"/>
  <c r="J1320" i="4"/>
  <c r="I1320" i="4"/>
  <c r="L1648" i="4"/>
  <c r="I1648" i="4"/>
  <c r="L1087" i="4"/>
  <c r="I1087" i="4"/>
  <c r="L832" i="4"/>
  <c r="J832" i="4"/>
  <c r="I832" i="4"/>
  <c r="L1490" i="4"/>
  <c r="I1490" i="4"/>
  <c r="L816" i="4"/>
  <c r="J816" i="4"/>
  <c r="I816" i="4"/>
  <c r="L947" i="4"/>
  <c r="J947" i="4"/>
  <c r="I947" i="4"/>
  <c r="L125" i="4"/>
  <c r="J125" i="4"/>
  <c r="I125" i="4"/>
  <c r="L1179" i="4"/>
  <c r="I1179" i="4"/>
  <c r="L1272" i="4"/>
  <c r="J1272" i="4"/>
  <c r="I1272" i="4"/>
  <c r="L601" i="4"/>
  <c r="J601" i="4"/>
  <c r="I601" i="4"/>
  <c r="L1346" i="4"/>
  <c r="J1346" i="4"/>
  <c r="I1346" i="4"/>
  <c r="L418" i="4"/>
  <c r="J418" i="4"/>
  <c r="I418" i="4"/>
  <c r="L88" i="4"/>
  <c r="J88" i="4"/>
  <c r="I88" i="4"/>
  <c r="L470" i="4"/>
  <c r="J470" i="4"/>
  <c r="I470" i="4"/>
  <c r="L1262" i="4"/>
  <c r="I1262" i="4"/>
  <c r="L1443" i="4"/>
  <c r="J1443" i="4"/>
  <c r="I1443" i="4"/>
  <c r="L11" i="4"/>
  <c r="J11" i="4"/>
  <c r="I11" i="4"/>
  <c r="L1617" i="4"/>
  <c r="J1617" i="4"/>
  <c r="I1617" i="4"/>
  <c r="L642" i="4"/>
  <c r="I642" i="4"/>
  <c r="L1264" i="4"/>
  <c r="J1264" i="4"/>
  <c r="I1264" i="4"/>
  <c r="L1523" i="4"/>
  <c r="I1523" i="4"/>
  <c r="L1218" i="4"/>
  <c r="J1218" i="4"/>
  <c r="I1218" i="4"/>
  <c r="L791" i="4"/>
  <c r="I791" i="4"/>
  <c r="L1359" i="4"/>
  <c r="J1359" i="4"/>
  <c r="I1359" i="4"/>
  <c r="L82" i="4"/>
  <c r="I82" i="4"/>
  <c r="L110" i="4"/>
  <c r="I110" i="4"/>
  <c r="L968" i="4"/>
  <c r="I968" i="4"/>
  <c r="L1704" i="4"/>
  <c r="J1704" i="4"/>
  <c r="I1704" i="4"/>
  <c r="L616" i="4"/>
  <c r="I616" i="4"/>
  <c r="L1033" i="4"/>
  <c r="J1033" i="4"/>
  <c r="I1033" i="4"/>
  <c r="L1365" i="4"/>
  <c r="I1365" i="4"/>
  <c r="L1150" i="4"/>
  <c r="J1150" i="4"/>
  <c r="I1150" i="4"/>
  <c r="L1191" i="4"/>
  <c r="J1191" i="4"/>
  <c r="I1191" i="4"/>
  <c r="L42" i="4"/>
  <c r="J42" i="4"/>
  <c r="I42" i="4"/>
  <c r="L1677" i="4"/>
  <c r="J1677" i="4"/>
  <c r="I1677" i="4"/>
  <c r="L1044" i="4"/>
  <c r="I1044" i="4"/>
  <c r="L634" i="4"/>
  <c r="J634" i="4"/>
  <c r="I634" i="4"/>
  <c r="L1216" i="4"/>
  <c r="J1216" i="4"/>
  <c r="I1216" i="4"/>
  <c r="L1250" i="4"/>
  <c r="J1250" i="4"/>
  <c r="I1250" i="4"/>
  <c r="L1167" i="4"/>
  <c r="J1167" i="4"/>
  <c r="I1167" i="4"/>
  <c r="L586" i="4"/>
  <c r="I586" i="4"/>
  <c r="L836" i="4"/>
  <c r="J836" i="4"/>
  <c r="I836" i="4"/>
  <c r="L296" i="4"/>
  <c r="I296" i="4"/>
  <c r="L300" i="4"/>
  <c r="I300" i="4"/>
  <c r="L237" i="4"/>
  <c r="J237" i="4"/>
  <c r="I237" i="4"/>
  <c r="L984" i="4"/>
  <c r="J984" i="4"/>
  <c r="I984" i="4"/>
  <c r="L1539" i="4"/>
  <c r="J1539" i="4"/>
  <c r="I1539" i="4"/>
  <c r="L1411" i="4"/>
  <c r="I1411" i="4"/>
  <c r="L1494" i="4"/>
  <c r="J1494" i="4"/>
  <c r="I1494" i="4"/>
  <c r="L903" i="4"/>
  <c r="I903" i="4"/>
  <c r="L1386" i="4"/>
  <c r="J1386" i="4"/>
  <c r="I1386" i="4"/>
  <c r="L1325" i="4"/>
  <c r="I1325" i="4"/>
  <c r="L1051" i="4"/>
  <c r="J1051" i="4"/>
  <c r="I1051" i="4"/>
  <c r="L753" i="4"/>
  <c r="J753" i="4"/>
  <c r="I753" i="4"/>
  <c r="L1206" i="4"/>
  <c r="I1206" i="4"/>
  <c r="L812" i="4"/>
  <c r="J812" i="4"/>
  <c r="I812" i="4"/>
  <c r="L156" i="4"/>
  <c r="J156" i="4"/>
  <c r="I156" i="4"/>
  <c r="L752" i="4"/>
  <c r="J752" i="4"/>
  <c r="I752" i="4"/>
  <c r="L625" i="4"/>
  <c r="J625" i="4"/>
  <c r="I625" i="4"/>
  <c r="L1307" i="4"/>
  <c r="I1307" i="4"/>
  <c r="L934" i="4"/>
  <c r="J934" i="4"/>
  <c r="I934" i="4"/>
  <c r="L1085" i="4"/>
  <c r="J1085" i="4"/>
  <c r="I1085" i="4"/>
  <c r="L1461" i="4"/>
  <c r="I1461" i="4"/>
  <c r="L68" i="4"/>
  <c r="I68" i="4"/>
  <c r="L1050" i="4"/>
  <c r="I1050" i="4"/>
  <c r="L374" i="4"/>
  <c r="J374" i="4"/>
  <c r="I374" i="4"/>
  <c r="L251" i="4"/>
  <c r="J251" i="4"/>
  <c r="I251" i="4"/>
  <c r="L1685" i="4"/>
  <c r="I1685" i="4"/>
  <c r="L1493" i="4"/>
  <c r="J1493" i="4"/>
  <c r="I1493" i="4"/>
  <c r="L1587" i="4"/>
  <c r="I1587" i="4"/>
  <c r="L409" i="4"/>
  <c r="J409" i="4"/>
  <c r="I409" i="4"/>
  <c r="L264" i="4"/>
  <c r="I264" i="4"/>
  <c r="L1190" i="4"/>
  <c r="I1190" i="4"/>
  <c r="L1409" i="4"/>
  <c r="J1409" i="4"/>
  <c r="I1409" i="4"/>
  <c r="L544" i="4"/>
  <c r="I544" i="4"/>
  <c r="L1603" i="4"/>
  <c r="I1603" i="4"/>
  <c r="L689" i="4"/>
  <c r="J689" i="4"/>
  <c r="I689" i="4"/>
  <c r="L257" i="4"/>
  <c r="J257" i="4"/>
  <c r="I257" i="4"/>
  <c r="L550" i="4"/>
  <c r="J550" i="4"/>
  <c r="I550" i="4"/>
  <c r="L1202" i="4"/>
  <c r="I1202" i="4"/>
  <c r="L939" i="4"/>
  <c r="J939" i="4"/>
  <c r="I939" i="4"/>
  <c r="L1703" i="4"/>
  <c r="J1703" i="4"/>
  <c r="I1703" i="4"/>
  <c r="L763" i="4"/>
  <c r="J763" i="4"/>
  <c r="I763" i="4"/>
  <c r="L1026" i="4"/>
  <c r="J1026" i="4"/>
  <c r="I1026" i="4"/>
  <c r="L129" i="4"/>
  <c r="J129" i="4"/>
  <c r="I129" i="4"/>
  <c r="L1406" i="4"/>
  <c r="I1406" i="4"/>
  <c r="L568" i="4"/>
  <c r="J568" i="4"/>
  <c r="I568" i="4"/>
  <c r="L1664" i="4"/>
  <c r="J1664" i="4"/>
  <c r="I1664" i="4"/>
  <c r="L1205" i="4"/>
  <c r="J1205" i="4"/>
  <c r="I1205" i="4"/>
  <c r="L1607" i="4"/>
  <c r="J1607" i="4"/>
  <c r="I1607" i="4"/>
  <c r="L87" i="4"/>
  <c r="J87" i="4"/>
  <c r="I87" i="4"/>
  <c r="L1442" i="4"/>
  <c r="J1442" i="4"/>
  <c r="I1442" i="4"/>
  <c r="L229" i="4"/>
  <c r="J229" i="4"/>
  <c r="I229" i="4"/>
  <c r="L168" i="4"/>
  <c r="J168" i="4"/>
  <c r="I168" i="4"/>
  <c r="L1171" i="4"/>
  <c r="J1171" i="4"/>
  <c r="I1171" i="4"/>
  <c r="L1340" i="4"/>
  <c r="I1340" i="4"/>
  <c r="L1058" i="4"/>
  <c r="J1058" i="4"/>
  <c r="I1058" i="4"/>
  <c r="L1601" i="4"/>
  <c r="J1601" i="4"/>
  <c r="I1601" i="4"/>
  <c r="L312" i="4"/>
  <c r="J312" i="4"/>
  <c r="I312" i="4"/>
  <c r="L1683" i="4"/>
  <c r="J1683" i="4"/>
  <c r="I1683" i="4"/>
  <c r="L606" i="4"/>
  <c r="I606" i="4"/>
  <c r="L461" i="4"/>
  <c r="I461" i="4"/>
  <c r="L593" i="4"/>
  <c r="I593" i="4"/>
  <c r="L1039" i="4"/>
  <c r="J1039" i="4"/>
  <c r="I1039" i="4"/>
  <c r="L1336" i="4"/>
  <c r="I1336" i="4"/>
  <c r="L508" i="4"/>
  <c r="I508" i="4"/>
  <c r="L1254" i="4"/>
  <c r="J1254" i="4"/>
  <c r="I1254" i="4"/>
  <c r="L395" i="4"/>
  <c r="I395" i="4"/>
  <c r="L1708" i="4"/>
  <c r="J1708" i="4"/>
  <c r="I1708" i="4"/>
  <c r="L411" i="4"/>
  <c r="J411" i="4"/>
  <c r="I411" i="4"/>
  <c r="L22" i="4"/>
  <c r="I22" i="4"/>
  <c r="L1014" i="4"/>
  <c r="J1014" i="4"/>
  <c r="I1014" i="4"/>
  <c r="L648" i="4"/>
  <c r="I648" i="4"/>
  <c r="L1343" i="4"/>
  <c r="I1343" i="4"/>
  <c r="L350" i="4"/>
  <c r="J350" i="4"/>
  <c r="I350" i="4"/>
  <c r="L1062" i="4"/>
  <c r="I1062" i="4"/>
  <c r="L1639" i="4"/>
  <c r="J1639" i="4"/>
  <c r="I1639" i="4"/>
  <c r="L1070" i="4"/>
  <c r="J1070" i="4"/>
  <c r="I1070" i="4"/>
  <c r="L56" i="4"/>
  <c r="J56" i="4"/>
  <c r="I56" i="4"/>
  <c r="L399" i="4"/>
  <c r="I399" i="4"/>
  <c r="L1351" i="4"/>
  <c r="I1351" i="4"/>
  <c r="L1301" i="4"/>
  <c r="J1301" i="4"/>
  <c r="I1301" i="4"/>
  <c r="L441" i="4"/>
  <c r="J441" i="4"/>
  <c r="I441" i="4"/>
  <c r="L665" i="4"/>
  <c r="I665" i="4"/>
  <c r="L1697" i="4"/>
  <c r="I1697" i="4"/>
  <c r="L1400" i="4"/>
  <c r="J1400" i="4"/>
  <c r="I1400" i="4"/>
  <c r="L26" i="4"/>
  <c r="I26" i="4"/>
  <c r="L1719" i="4"/>
  <c r="J1719" i="4"/>
  <c r="I1719" i="4"/>
  <c r="L1613" i="4"/>
  <c r="I1613" i="4"/>
  <c r="L1509" i="4"/>
  <c r="J1509" i="4"/>
  <c r="I1509" i="4"/>
  <c r="L679" i="4"/>
  <c r="J679" i="4"/>
  <c r="I679" i="4"/>
  <c r="L826" i="4"/>
  <c r="J826" i="4"/>
  <c r="I826" i="4"/>
  <c r="L480" i="4"/>
  <c r="J480" i="4"/>
  <c r="I480" i="4"/>
  <c r="L590" i="4"/>
  <c r="J590" i="4"/>
  <c r="I590" i="4"/>
  <c r="L1715" i="4"/>
  <c r="I1715" i="4"/>
  <c r="L570" i="4"/>
  <c r="I570" i="4"/>
  <c r="L1430" i="4"/>
  <c r="J1430" i="4"/>
  <c r="I1430" i="4"/>
  <c r="L203" i="4"/>
  <c r="J203" i="4"/>
  <c r="I203" i="4"/>
  <c r="L1531" i="4"/>
  <c r="J1531" i="4"/>
  <c r="I1531" i="4"/>
  <c r="L204" i="4"/>
  <c r="I204" i="4"/>
  <c r="L844" i="4"/>
  <c r="J844" i="4"/>
  <c r="I844" i="4"/>
  <c r="L1496" i="4"/>
  <c r="J1496" i="4"/>
  <c r="I1496" i="4"/>
  <c r="L920" i="4"/>
  <c r="J920" i="4"/>
  <c r="I920" i="4"/>
  <c r="L492" i="4"/>
  <c r="J492" i="4"/>
  <c r="I492" i="4"/>
  <c r="L1673" i="4"/>
  <c r="J1673" i="4"/>
  <c r="I1673" i="4"/>
  <c r="L1435" i="4"/>
  <c r="J1435" i="4"/>
  <c r="I1435" i="4"/>
  <c r="L1292" i="4"/>
  <c r="I1292" i="4"/>
  <c r="L1418" i="4"/>
  <c r="J1418" i="4"/>
  <c r="I1418" i="4"/>
  <c r="L1315" i="4"/>
  <c r="I1315" i="4"/>
  <c r="L108" i="4"/>
  <c r="I108" i="4"/>
  <c r="L1021" i="4"/>
  <c r="J1021" i="4"/>
  <c r="I1021" i="4"/>
  <c r="L1362" i="4"/>
  <c r="I1362" i="4"/>
  <c r="L153" i="4"/>
  <c r="J153" i="4"/>
  <c r="I153" i="4"/>
  <c r="L1422" i="4"/>
  <c r="J1422" i="4"/>
  <c r="I1422" i="4"/>
  <c r="L1535" i="4"/>
  <c r="J1535" i="4"/>
  <c r="I1535" i="4"/>
  <c r="L767" i="4"/>
  <c r="J767" i="4"/>
  <c r="I767" i="4"/>
  <c r="L963" i="4"/>
  <c r="J963" i="4"/>
  <c r="I963" i="4"/>
  <c r="L504" i="4"/>
  <c r="J504" i="4"/>
  <c r="I504" i="4"/>
  <c r="L271" i="4"/>
  <c r="J271" i="4"/>
  <c r="I271" i="4"/>
  <c r="L318" i="4"/>
  <c r="J318" i="4"/>
  <c r="I318" i="4"/>
  <c r="L879" i="4"/>
  <c r="J879" i="4"/>
  <c r="I879" i="4"/>
  <c r="L1327" i="4"/>
  <c r="I1327" i="4"/>
  <c r="L55" i="4"/>
  <c r="I55" i="4"/>
  <c r="L840" i="4"/>
  <c r="I840" i="4"/>
  <c r="L1185" i="4"/>
  <c r="I1185" i="4"/>
  <c r="L351" i="4"/>
  <c r="I351" i="4"/>
  <c r="L759" i="4"/>
  <c r="J759" i="4"/>
  <c r="I759" i="4"/>
  <c r="L62" i="4"/>
  <c r="I62" i="4"/>
  <c r="L1025" i="4"/>
  <c r="J1025" i="4"/>
  <c r="I1025" i="4"/>
  <c r="L12" i="4"/>
  <c r="J12" i="4"/>
  <c r="I12" i="4"/>
  <c r="L591" i="4"/>
  <c r="I591" i="4"/>
  <c r="L548" i="4"/>
  <c r="I548" i="4"/>
  <c r="L297" i="4"/>
  <c r="J297" i="4"/>
  <c r="I297" i="4"/>
  <c r="L1596" i="4"/>
  <c r="J1596" i="4"/>
  <c r="I1596" i="4"/>
  <c r="L1450" i="4"/>
  <c r="I1450" i="4"/>
  <c r="L1278" i="4"/>
  <c r="J1278" i="4"/>
  <c r="I1278" i="4"/>
  <c r="L1110" i="4"/>
  <c r="J1110" i="4"/>
  <c r="I1110" i="4"/>
  <c r="L1189" i="4"/>
  <c r="J1189" i="4"/>
  <c r="I1189" i="4"/>
  <c r="L624" i="4"/>
  <c r="J624" i="4"/>
  <c r="I624" i="4"/>
  <c r="L8" i="4"/>
  <c r="J8" i="4"/>
  <c r="I8" i="4"/>
  <c r="L953" i="4"/>
  <c r="J953" i="4"/>
  <c r="I953" i="4"/>
  <c r="L196" i="4"/>
  <c r="J196" i="4"/>
  <c r="I196" i="4"/>
  <c r="L378" i="4"/>
  <c r="J378" i="4"/>
  <c r="I378" i="4"/>
  <c r="L309" i="4"/>
  <c r="I309" i="4"/>
  <c r="L866" i="4"/>
  <c r="J866" i="4"/>
  <c r="I866" i="4"/>
  <c r="L94" i="4"/>
  <c r="J94" i="4"/>
  <c r="I94" i="4"/>
  <c r="L302" i="4"/>
  <c r="J302" i="4"/>
  <c r="I302" i="4"/>
  <c r="L563" i="4"/>
  <c r="J563" i="4"/>
  <c r="I563" i="4"/>
  <c r="L210" i="4"/>
  <c r="J210" i="4"/>
  <c r="I210" i="4"/>
  <c r="L149" i="4"/>
  <c r="J149" i="4"/>
  <c r="I149" i="4"/>
  <c r="L1537" i="4"/>
  <c r="J1537" i="4"/>
  <c r="I1537" i="4"/>
  <c r="L1258" i="4"/>
  <c r="I1258" i="4"/>
  <c r="L975" i="4"/>
  <c r="I975" i="4"/>
  <c r="L1624" i="4"/>
  <c r="J1624" i="4"/>
  <c r="I1624" i="4"/>
  <c r="L1055" i="4"/>
  <c r="J1055" i="4"/>
  <c r="I1055" i="4"/>
  <c r="L1448" i="4"/>
  <c r="J1448" i="4"/>
  <c r="I1448" i="4"/>
  <c r="L1627" i="4"/>
  <c r="J1627" i="4"/>
  <c r="I1627" i="4"/>
  <c r="L882" i="4"/>
  <c r="J882" i="4"/>
  <c r="I882" i="4"/>
  <c r="L100" i="4"/>
  <c r="J100" i="4"/>
  <c r="I100" i="4"/>
  <c r="L1701" i="4"/>
  <c r="J1701" i="4"/>
  <c r="I1701" i="4"/>
  <c r="L497" i="4"/>
  <c r="I497" i="4"/>
  <c r="L1693" i="4"/>
  <c r="J1693" i="4"/>
  <c r="I1693" i="4"/>
  <c r="L425" i="4"/>
  <c r="J425" i="4"/>
  <c r="I425" i="4"/>
  <c r="L776" i="4"/>
  <c r="I776" i="4"/>
  <c r="L1477" i="4"/>
  <c r="J1477" i="4"/>
  <c r="I1477" i="4"/>
  <c r="L1299" i="4"/>
  <c r="I1299" i="4"/>
  <c r="L589" i="4"/>
  <c r="I589" i="4"/>
  <c r="L818" i="4"/>
  <c r="J818" i="4"/>
  <c r="I818" i="4"/>
  <c r="L464" i="4"/>
  <c r="I464" i="4"/>
  <c r="L1407" i="4"/>
  <c r="J1407" i="4"/>
  <c r="I1407" i="4"/>
  <c r="L1032" i="4"/>
  <c r="I1032" i="4"/>
  <c r="L1133" i="4"/>
  <c r="J1133" i="4"/>
  <c r="I1133" i="4"/>
  <c r="L635" i="4"/>
  <c r="J635" i="4"/>
  <c r="I635" i="4"/>
  <c r="L1642" i="4"/>
  <c r="J1642" i="4"/>
  <c r="I1642" i="4"/>
  <c r="L885" i="4"/>
  <c r="I885" i="4"/>
  <c r="L538" i="4"/>
  <c r="I538" i="4"/>
  <c r="L1688" i="4"/>
  <c r="I1688" i="4"/>
  <c r="L328" i="4"/>
  <c r="J328" i="4"/>
  <c r="I328" i="4"/>
  <c r="L1698" i="4"/>
  <c r="I1698" i="4"/>
  <c r="L887" i="4"/>
  <c r="I887" i="4"/>
  <c r="L1223" i="4"/>
  <c r="I1223" i="4"/>
  <c r="L34" i="4"/>
  <c r="I34" i="4"/>
  <c r="L898" i="4"/>
  <c r="J898" i="4"/>
  <c r="I898" i="4"/>
  <c r="L1188" i="4"/>
  <c r="J1188" i="4"/>
  <c r="I1188" i="4"/>
  <c r="L1566" i="4"/>
  <c r="I1566" i="4"/>
  <c r="L688" i="4"/>
  <c r="I688" i="4"/>
  <c r="L1514" i="4"/>
  <c r="J1514" i="4"/>
  <c r="I1514" i="4"/>
  <c r="L452" i="4"/>
  <c r="J452" i="4"/>
  <c r="I452" i="4"/>
  <c r="L1279" i="4"/>
  <c r="J1279" i="4"/>
  <c r="I1279" i="4"/>
  <c r="L152" i="4"/>
  <c r="L1019" i="4"/>
  <c r="J1019" i="4"/>
  <c r="I1019" i="4"/>
  <c r="L1143" i="4"/>
  <c r="I1143" i="4"/>
  <c r="L837" i="4"/>
  <c r="J198" i="4"/>
  <c r="I198" i="4"/>
  <c r="L1380" i="4"/>
  <c r="I1380" i="4"/>
  <c r="L76" i="4"/>
  <c r="I76" i="4"/>
  <c r="L252" i="4"/>
  <c r="J252" i="4"/>
  <c r="I252" i="4"/>
  <c r="L686" i="4"/>
  <c r="I686" i="4"/>
  <c r="L1169" i="4"/>
  <c r="I1169" i="4"/>
  <c r="L436" i="4"/>
  <c r="J436" i="4"/>
  <c r="I436" i="4"/>
  <c r="L1614" i="4"/>
  <c r="J1614" i="4"/>
  <c r="I1614" i="4"/>
  <c r="L205" i="4"/>
  <c r="J205" i="4"/>
  <c r="I205" i="4"/>
  <c r="L878" i="4"/>
  <c r="J878" i="4"/>
  <c r="I878" i="4"/>
  <c r="L790" i="4"/>
  <c r="I790" i="4"/>
  <c r="L166" i="4"/>
  <c r="I166" i="4"/>
  <c r="L322" i="4"/>
  <c r="I322" i="4"/>
  <c r="L1176" i="4"/>
  <c r="I1176" i="4"/>
  <c r="L1675" i="4"/>
  <c r="I1675" i="4"/>
  <c r="L733" i="4"/>
  <c r="I733" i="4"/>
  <c r="L520" i="4"/>
  <c r="I520" i="4"/>
  <c r="L1611" i="4"/>
  <c r="I1611" i="4"/>
  <c r="L1210" i="4"/>
  <c r="J1210" i="4"/>
  <c r="I1210" i="4"/>
  <c r="L850" i="4"/>
  <c r="I850" i="4"/>
  <c r="L359" i="4"/>
  <c r="J359" i="4"/>
  <c r="I359" i="4"/>
  <c r="L1511" i="4"/>
  <c r="J1511" i="4"/>
  <c r="I1511" i="4"/>
  <c r="L1119" i="4"/>
  <c r="J1119" i="4"/>
  <c r="I1119" i="4"/>
  <c r="L1512" i="4"/>
  <c r="I1512" i="4"/>
  <c r="L801" i="4"/>
  <c r="J801" i="4"/>
  <c r="I801" i="4"/>
  <c r="L1543" i="4"/>
  <c r="I1543" i="4"/>
  <c r="L343" i="4"/>
  <c r="I343" i="4"/>
  <c r="L823" i="4"/>
  <c r="J823" i="4"/>
  <c r="I823" i="4"/>
  <c r="L533" i="4"/>
  <c r="I533" i="4"/>
  <c r="L228" i="4"/>
  <c r="I228" i="4"/>
  <c r="L617" i="4"/>
  <c r="I617" i="4"/>
  <c r="L127" i="4"/>
  <c r="J127" i="4"/>
  <c r="I127" i="4"/>
  <c r="L660" i="4"/>
  <c r="I660" i="4"/>
  <c r="L558" i="4"/>
  <c r="I558" i="4"/>
  <c r="L631" i="4"/>
  <c r="I631" i="4"/>
  <c r="L961" i="4"/>
  <c r="I961" i="4"/>
  <c r="L1634" i="4"/>
  <c r="I1634" i="4"/>
  <c r="L139" i="4"/>
  <c r="I139" i="4"/>
  <c r="L1038" i="4"/>
  <c r="I1038" i="4"/>
  <c r="L929" i="4"/>
  <c r="J929" i="4"/>
  <c r="I929" i="4"/>
  <c r="L188" i="4"/>
  <c r="I188" i="4"/>
  <c r="L178" i="4"/>
  <c r="J178" i="4"/>
  <c r="I178" i="4"/>
  <c r="L907" i="4"/>
  <c r="J907" i="4"/>
  <c r="I907" i="4"/>
  <c r="L117" i="4"/>
  <c r="J117" i="4"/>
  <c r="I117" i="4"/>
  <c r="L1228" i="4"/>
  <c r="J1228" i="4"/>
  <c r="I1228" i="4"/>
  <c r="L1483" i="4"/>
  <c r="J1483" i="4"/>
  <c r="I1483" i="4"/>
  <c r="L7" i="4"/>
  <c r="I7" i="4"/>
  <c r="L792" i="4"/>
  <c r="I792" i="4"/>
  <c r="L855" i="4"/>
  <c r="J855" i="4"/>
  <c r="I855" i="4"/>
  <c r="L1695" i="4"/>
  <c r="J1695" i="4"/>
  <c r="I1695" i="4"/>
  <c r="L1608" i="4"/>
  <c r="J1608" i="4"/>
  <c r="I1608" i="4"/>
  <c r="L489" i="4"/>
  <c r="J489" i="4"/>
  <c r="I489" i="4"/>
  <c r="J771" i="4"/>
  <c r="I771" i="4"/>
  <c r="L1388" i="4"/>
  <c r="I1388" i="4"/>
  <c r="L628" i="4"/>
  <c r="J628" i="4"/>
  <c r="I628" i="4"/>
  <c r="L1373" i="4"/>
  <c r="I1373" i="4"/>
  <c r="L1115" i="4"/>
  <c r="I1115" i="4"/>
  <c r="L1157" i="4"/>
  <c r="J1157" i="4"/>
  <c r="I1157" i="4"/>
  <c r="L1129" i="4"/>
  <c r="J1129" i="4"/>
  <c r="I1129" i="4"/>
  <c r="L1577" i="4"/>
  <c r="J1577" i="4"/>
  <c r="I1577" i="4"/>
  <c r="L1544" i="4"/>
  <c r="J1544" i="4"/>
  <c r="I1544" i="4"/>
  <c r="L1141" i="4"/>
  <c r="I1141" i="4"/>
  <c r="L1328" i="4"/>
  <c r="J1328" i="4"/>
  <c r="I1328" i="4"/>
  <c r="L1047" i="4"/>
  <c r="J1047" i="4"/>
  <c r="I1047" i="4"/>
  <c r="L299" i="4"/>
  <c r="J299" i="4"/>
  <c r="I299" i="4"/>
  <c r="L1260" i="4"/>
  <c r="J1260" i="4"/>
  <c r="I1260" i="4"/>
  <c r="L488" i="4"/>
  <c r="J488" i="4"/>
  <c r="I488" i="4"/>
  <c r="L813" i="4"/>
  <c r="I813" i="4"/>
  <c r="L509" i="4"/>
  <c r="J509" i="4"/>
  <c r="I509" i="4"/>
  <c r="L1323" i="4"/>
  <c r="J1323" i="4"/>
  <c r="I1323" i="4"/>
  <c r="L455" i="4"/>
  <c r="I455" i="4"/>
  <c r="J756" i="4"/>
  <c r="I756" i="4"/>
  <c r="J817" i="4"/>
  <c r="I817" i="4"/>
  <c r="L1598" i="4"/>
  <c r="J1598" i="4"/>
  <c r="I1598" i="4"/>
  <c r="L640" i="4"/>
  <c r="J640" i="4"/>
  <c r="I640" i="4"/>
  <c r="L354" i="4"/>
  <c r="J354" i="4"/>
  <c r="I354" i="4"/>
  <c r="L1274" i="4"/>
  <c r="J1274" i="4"/>
  <c r="I1274" i="4"/>
  <c r="L227" i="4"/>
  <c r="J227" i="4"/>
  <c r="I227" i="4"/>
  <c r="L1194" i="4"/>
  <c r="I1194" i="4"/>
  <c r="L853" i="4"/>
  <c r="J853" i="4"/>
  <c r="I853" i="4"/>
  <c r="L471" i="4"/>
  <c r="I471" i="4"/>
  <c r="L469" i="4"/>
  <c r="I469" i="4"/>
  <c r="L1310" i="4"/>
  <c r="J1310" i="4"/>
  <c r="I1310" i="4"/>
  <c r="L361" i="4"/>
  <c r="J361" i="4"/>
  <c r="I361" i="4"/>
  <c r="L1653" i="4"/>
  <c r="I1653" i="4"/>
  <c r="L167" i="4"/>
  <c r="J167" i="4"/>
  <c r="I167" i="4"/>
  <c r="L567" i="4"/>
  <c r="I567" i="4"/>
  <c r="L220" i="4"/>
  <c r="J220" i="4"/>
  <c r="I220" i="4"/>
  <c r="L605" i="4"/>
  <c r="I605" i="4"/>
  <c r="L1551" i="4"/>
  <c r="J1551" i="4"/>
  <c r="I1551" i="4"/>
  <c r="L503" i="4"/>
  <c r="J503" i="4"/>
  <c r="I503" i="4"/>
  <c r="L1131" i="4"/>
  <c r="J1131" i="4"/>
  <c r="I1131" i="4"/>
  <c r="L259" i="4"/>
  <c r="I259" i="4"/>
  <c r="L1364" i="4"/>
  <c r="J1364" i="4"/>
  <c r="I1364" i="4"/>
  <c r="L738" i="4"/>
  <c r="J738" i="4"/>
  <c r="I738" i="4"/>
  <c r="L25" i="4"/>
  <c r="J25" i="4"/>
  <c r="I25" i="4"/>
  <c r="L1727" i="4"/>
  <c r="J1727" i="4"/>
  <c r="I1727" i="4"/>
  <c r="L1672" i="4"/>
  <c r="J1672" i="4"/>
  <c r="I1672" i="4"/>
  <c r="L715" i="4"/>
  <c r="I715" i="4"/>
  <c r="L971" i="4"/>
  <c r="I971" i="4"/>
  <c r="L623" i="4"/>
  <c r="I623" i="4"/>
  <c r="L1010" i="4"/>
  <c r="I1010" i="4"/>
  <c r="L923" i="4"/>
  <c r="I923" i="4"/>
  <c r="L324" i="4"/>
  <c r="J324" i="4"/>
  <c r="I324" i="4"/>
  <c r="L649" i="4"/>
  <c r="I649" i="4"/>
  <c r="L440" i="4"/>
  <c r="J440" i="4"/>
  <c r="I440" i="4"/>
  <c r="L1626" i="4"/>
  <c r="I1626" i="4"/>
  <c r="L1420" i="4"/>
  <c r="J1420" i="4"/>
  <c r="I1420" i="4"/>
  <c r="L1602" i="4"/>
  <c r="J1602" i="4"/>
  <c r="I1602" i="4"/>
  <c r="L481" i="4"/>
  <c r="J481" i="4"/>
  <c r="I481" i="4"/>
  <c r="L1547" i="4"/>
  <c r="J1547" i="4"/>
  <c r="I1547" i="4"/>
  <c r="L209" i="4"/>
  <c r="J209" i="4"/>
  <c r="I209" i="4"/>
  <c r="L621" i="4"/>
  <c r="I621" i="4"/>
  <c r="L1501" i="4"/>
  <c r="J1501" i="4"/>
  <c r="I1501" i="4"/>
  <c r="L435" i="4"/>
  <c r="I435" i="4"/>
  <c r="L1204" i="4"/>
  <c r="I1204" i="4"/>
  <c r="L103" i="4"/>
  <c r="J103" i="4"/>
  <c r="I103" i="4"/>
  <c r="L1225" i="4"/>
  <c r="J1225" i="4"/>
  <c r="I1225" i="4"/>
  <c r="L1633" i="4"/>
  <c r="I1633" i="4"/>
  <c r="L1142" i="4"/>
  <c r="I1142" i="4"/>
  <c r="L1208" i="4"/>
  <c r="I1208" i="4"/>
  <c r="L1160" i="4"/>
  <c r="I1160" i="4"/>
  <c r="L111" i="4"/>
  <c r="I111" i="4"/>
  <c r="L1329" i="4"/>
  <c r="I1329" i="4"/>
  <c r="L526" i="4"/>
  <c r="J526" i="4"/>
  <c r="I526" i="4"/>
  <c r="L1578" i="4"/>
  <c r="I1578" i="4"/>
  <c r="L710" i="4"/>
  <c r="I710" i="4"/>
  <c r="L1096" i="4"/>
  <c r="I1096" i="4"/>
  <c r="L912" i="4"/>
  <c r="J912" i="4"/>
  <c r="I912" i="4"/>
  <c r="L996" i="4"/>
  <c r="I996" i="4"/>
  <c r="L1460" i="4"/>
  <c r="I1460" i="4"/>
  <c r="L913" i="4"/>
  <c r="I913" i="4"/>
  <c r="L1534" i="4"/>
  <c r="I1534" i="4"/>
  <c r="L1589" i="4"/>
  <c r="I1589" i="4"/>
  <c r="L666" i="4"/>
  <c r="J666" i="4"/>
  <c r="I666" i="4"/>
  <c r="L78" i="4"/>
  <c r="I78" i="4"/>
  <c r="L29" i="4"/>
  <c r="J29" i="4"/>
  <c r="I29" i="4"/>
  <c r="L778" i="4"/>
  <c r="I778" i="4"/>
  <c r="L1453" i="4"/>
  <c r="J1453" i="4"/>
  <c r="I1453" i="4"/>
  <c r="L639" i="4"/>
  <c r="J639" i="4"/>
  <c r="I639" i="4"/>
  <c r="L1034" i="4"/>
  <c r="J1034" i="4"/>
  <c r="I1034" i="4"/>
  <c r="L1579" i="4"/>
  <c r="J1579" i="4"/>
  <c r="I1579" i="4"/>
  <c r="L536" i="4"/>
  <c r="J536" i="4"/>
  <c r="I536" i="4"/>
  <c r="L306" i="4"/>
  <c r="J306" i="4"/>
  <c r="I306" i="4"/>
  <c r="L1556" i="4"/>
  <c r="I1556" i="4"/>
  <c r="L1542" i="4"/>
  <c r="I1542" i="4"/>
  <c r="L212" i="4"/>
  <c r="J212" i="4"/>
  <c r="I212" i="4"/>
  <c r="L1095" i="4"/>
  <c r="J1095" i="4"/>
  <c r="I1095" i="4"/>
  <c r="L1412" i="4"/>
  <c r="J1412" i="4"/>
  <c r="I1412" i="4"/>
  <c r="L1240" i="4"/>
  <c r="J1240" i="4"/>
  <c r="I1240" i="4"/>
  <c r="L59" i="4"/>
  <c r="J59" i="4"/>
  <c r="I59" i="4"/>
  <c r="L240" i="4"/>
  <c r="J240" i="4"/>
  <c r="I240" i="4"/>
  <c r="L1480" i="4"/>
  <c r="J1480" i="4"/>
  <c r="I1480" i="4"/>
  <c r="L1464" i="4"/>
  <c r="J1464" i="4"/>
  <c r="I1464" i="4"/>
  <c r="L802" i="4"/>
  <c r="I802" i="4"/>
  <c r="L1109" i="4"/>
  <c r="J1109" i="4"/>
  <c r="I1109" i="4"/>
  <c r="L553" i="4"/>
  <c r="J553" i="4"/>
  <c r="I553" i="4"/>
  <c r="L1074" i="4"/>
  <c r="J1074" i="4"/>
  <c r="I1074" i="4"/>
  <c r="L1707" i="4"/>
  <c r="J1707" i="4"/>
  <c r="I1707" i="4"/>
  <c r="L1575" i="4"/>
  <c r="J1575" i="4"/>
  <c r="I1575" i="4"/>
  <c r="L993" i="4"/>
  <c r="J993" i="4"/>
  <c r="I993" i="4"/>
  <c r="L1353" i="4"/>
  <c r="J1353" i="4"/>
  <c r="I1353" i="4"/>
  <c r="L63" i="4"/>
  <c r="J63" i="4"/>
  <c r="I63" i="4"/>
  <c r="L834" i="4"/>
  <c r="J834" i="4"/>
  <c r="I834" i="4"/>
  <c r="L1427" i="4"/>
  <c r="J1427" i="4"/>
  <c r="I1427" i="4"/>
  <c r="L41" i="4"/>
  <c r="J41" i="4"/>
  <c r="I41" i="4"/>
  <c r="L1061" i="4"/>
  <c r="J1061" i="4"/>
  <c r="I1061" i="4"/>
  <c r="L1352" i="4"/>
  <c r="J1352" i="4"/>
  <c r="I1352" i="4"/>
  <c r="L241" i="4"/>
  <c r="J241" i="4"/>
  <c r="I241" i="4"/>
  <c r="L1661" i="4"/>
  <c r="J1661" i="4"/>
  <c r="I1661" i="4"/>
  <c r="L782" i="4"/>
  <c r="J782" i="4"/>
  <c r="I782" i="4"/>
  <c r="L394" i="4"/>
  <c r="J394" i="4"/>
  <c r="I394" i="4"/>
  <c r="L541" i="4"/>
  <c r="J541" i="4"/>
  <c r="I541" i="4"/>
  <c r="L1203" i="4"/>
  <c r="J1203" i="4"/>
  <c r="I1203" i="4"/>
  <c r="L1117" i="4"/>
  <c r="J1117" i="4"/>
  <c r="I1117" i="4"/>
  <c r="L177" i="4"/>
  <c r="J177" i="4"/>
  <c r="I177" i="4"/>
  <c r="L851" i="4"/>
  <c r="I851" i="4"/>
  <c r="L959" i="4"/>
  <c r="J959" i="4"/>
  <c r="I959" i="4"/>
  <c r="L780" i="4"/>
  <c r="I780" i="4"/>
  <c r="L749" i="4"/>
  <c r="J749" i="4"/>
  <c r="I749" i="4"/>
  <c r="L1655" i="4"/>
  <c r="J1655" i="4"/>
  <c r="I1655" i="4"/>
  <c r="L740" i="4"/>
  <c r="I740" i="4"/>
  <c r="L839" i="4"/>
  <c r="J839" i="4"/>
  <c r="I839" i="4"/>
  <c r="L158" i="4"/>
  <c r="J158" i="4"/>
  <c r="I158" i="4"/>
  <c r="L85" i="4"/>
  <c r="J85" i="4"/>
  <c r="I85" i="4"/>
  <c r="L1247" i="4"/>
  <c r="J1247" i="4"/>
  <c r="I1247" i="4"/>
  <c r="L693" i="4"/>
  <c r="I693" i="4"/>
  <c r="L737" i="4"/>
  <c r="J737" i="4"/>
  <c r="I737" i="4"/>
  <c r="L911" i="4"/>
  <c r="J911" i="4"/>
  <c r="I911" i="4"/>
  <c r="L1238" i="4"/>
  <c r="J1238" i="4"/>
  <c r="I1238" i="4"/>
  <c r="L499" i="4"/>
  <c r="J499" i="4"/>
  <c r="I499" i="4"/>
  <c r="L1356" i="4"/>
  <c r="J1356" i="4"/>
  <c r="I1356" i="4"/>
  <c r="L730" i="4"/>
  <c r="I730" i="4"/>
  <c r="L201" i="4"/>
  <c r="I201" i="4"/>
  <c r="L277" i="4"/>
  <c r="I277" i="4"/>
  <c r="L1306" i="4"/>
  <c r="I1306" i="4"/>
  <c r="L500" i="4"/>
  <c r="J500" i="4"/>
  <c r="I500" i="4"/>
  <c r="L33" i="4"/>
  <c r="I33" i="4"/>
  <c r="L1335" i="4"/>
  <c r="J1335" i="4"/>
  <c r="I1335" i="4"/>
  <c r="L1662" i="4"/>
  <c r="I1662" i="4"/>
  <c r="L1046" i="4"/>
  <c r="J1046" i="4"/>
  <c r="I1046" i="4"/>
  <c r="L806" i="4"/>
  <c r="J806" i="4"/>
  <c r="I806" i="4"/>
  <c r="L867" i="4"/>
  <c r="J867" i="4"/>
  <c r="I867" i="4"/>
  <c r="L1091" i="4"/>
  <c r="J1091" i="4"/>
  <c r="I1091" i="4"/>
  <c r="L1116" i="4"/>
  <c r="I1116" i="4"/>
  <c r="L1446" i="4"/>
  <c r="J1446" i="4"/>
  <c r="I1446" i="4"/>
  <c r="L1720" i="4"/>
  <c r="J1720" i="4"/>
  <c r="I1720" i="4"/>
  <c r="L222" i="4"/>
  <c r="I222" i="4"/>
  <c r="L877" i="4"/>
  <c r="I877" i="4"/>
  <c r="L477" i="4"/>
  <c r="J477" i="4"/>
  <c r="I477" i="4"/>
  <c r="L998" i="4"/>
  <c r="I998" i="4"/>
  <c r="L944" i="4"/>
  <c r="J944" i="4"/>
  <c r="I944" i="4"/>
  <c r="L588" i="4"/>
  <c r="I588" i="4"/>
  <c r="L1154" i="4"/>
  <c r="I1154" i="4"/>
  <c r="L1687" i="4"/>
  <c r="J1687" i="4"/>
  <c r="I1687" i="4"/>
  <c r="J81" i="4"/>
  <c r="I81" i="4"/>
  <c r="L1132" i="4"/>
  <c r="J1132" i="4"/>
  <c r="I1132" i="4"/>
  <c r="L505" i="4"/>
  <c r="J505" i="4"/>
  <c r="I505" i="4"/>
  <c r="L516" i="4"/>
  <c r="I516" i="4"/>
  <c r="L1334" i="4"/>
  <c r="I1334" i="4"/>
  <c r="L342" i="4"/>
  <c r="L1462" i="4"/>
  <c r="J1462" i="4"/>
  <c r="I1462" i="4"/>
  <c r="L473" i="4"/>
  <c r="J473" i="4"/>
  <c r="I473" i="4"/>
  <c r="L1342" i="4"/>
  <c r="I1342" i="4"/>
  <c r="L1064" i="4"/>
  <c r="J1064" i="4"/>
  <c r="I1064" i="4"/>
  <c r="L506" i="4"/>
  <c r="J506" i="4"/>
  <c r="I506" i="4"/>
  <c r="L1488" i="4"/>
  <c r="I1488" i="4"/>
  <c r="L217" i="4"/>
  <c r="I217" i="4"/>
  <c r="L1555" i="4"/>
  <c r="J1555" i="4"/>
  <c r="I1555" i="4"/>
  <c r="L462" i="4"/>
  <c r="I462" i="4"/>
  <c r="L707" i="4"/>
  <c r="I707" i="4"/>
  <c r="L857" i="4"/>
  <c r="I857" i="4"/>
  <c r="L950" i="4"/>
  <c r="I950" i="4"/>
  <c r="L1669" i="4"/>
  <c r="J1669" i="4"/>
  <c r="I1669" i="4"/>
  <c r="L1357" i="4"/>
  <c r="J1357" i="4"/>
  <c r="I1357" i="4"/>
  <c r="L941" i="4"/>
  <c r="L1370" i="4"/>
  <c r="I1370" i="4"/>
  <c r="L582" i="4"/>
  <c r="J582" i="4"/>
  <c r="I582" i="4"/>
  <c r="L207" i="4"/>
  <c r="J207" i="4"/>
  <c r="I207" i="4"/>
  <c r="J1502" i="4"/>
  <c r="I1502" i="4"/>
  <c r="L396" i="4"/>
  <c r="J396" i="4"/>
  <c r="I396" i="4"/>
  <c r="L977" i="4"/>
  <c r="I977" i="4"/>
  <c r="L254" i="4"/>
  <c r="L1391" i="4"/>
  <c r="J1391" i="4"/>
  <c r="I1391" i="4"/>
  <c r="L946" i="4"/>
  <c r="J946" i="4"/>
  <c r="I946" i="4"/>
  <c r="L595" i="4"/>
  <c r="I595" i="4"/>
  <c r="L1597" i="4"/>
  <c r="L65" i="4"/>
  <c r="I65" i="4"/>
  <c r="L1465" i="4"/>
  <c r="I1465" i="4"/>
  <c r="L1197" i="4"/>
  <c r="I1197" i="4"/>
  <c r="L551" i="4"/>
  <c r="I551" i="4"/>
  <c r="L1605" i="4"/>
  <c r="I1605" i="4"/>
  <c r="L341" i="4"/>
  <c r="J341" i="4"/>
  <c r="I341" i="4"/>
  <c r="L1445" i="4"/>
  <c r="J1445" i="4"/>
  <c r="I1445" i="4"/>
  <c r="J1416" i="4"/>
  <c r="I1416" i="4"/>
  <c r="L884" i="4"/>
  <c r="L238" i="4"/>
  <c r="I238" i="4"/>
  <c r="L150" i="4"/>
  <c r="I150" i="4"/>
  <c r="L697" i="4"/>
  <c r="J697" i="4"/>
  <c r="I697" i="4"/>
  <c r="L1326" i="4"/>
  <c r="J1326" i="4"/>
  <c r="I1326" i="4"/>
  <c r="L437" i="4"/>
  <c r="I437" i="4"/>
  <c r="L969" i="4"/>
  <c r="I969" i="4"/>
  <c r="L705" i="4"/>
  <c r="J705" i="4"/>
  <c r="I705" i="4"/>
  <c r="L223" i="4"/>
  <c r="I223" i="4"/>
  <c r="L734" i="4"/>
  <c r="J734" i="4"/>
  <c r="I734" i="4"/>
  <c r="L305" i="4"/>
  <c r="I305" i="4"/>
  <c r="L263" i="4"/>
  <c r="I263" i="4"/>
  <c r="L120" i="4"/>
  <c r="I120" i="4"/>
  <c r="L1338" i="4"/>
  <c r="J1338" i="4"/>
  <c r="I1338" i="4"/>
  <c r="L1606" i="4"/>
  <c r="J1606" i="4"/>
  <c r="I1606" i="4"/>
  <c r="L663" i="4"/>
  <c r="I663" i="4"/>
  <c r="L1277" i="4"/>
  <c r="J1277" i="4"/>
  <c r="I1277" i="4"/>
  <c r="L244" i="4"/>
  <c r="J244" i="4"/>
  <c r="I244" i="4"/>
  <c r="L255" i="4"/>
  <c r="J255" i="4"/>
  <c r="I255" i="4"/>
  <c r="L317" i="4"/>
  <c r="I317" i="4"/>
  <c r="L960" i="4"/>
  <c r="I960" i="4"/>
  <c r="L972" i="4"/>
  <c r="J972" i="4"/>
  <c r="I972" i="4"/>
  <c r="L426" i="4"/>
  <c r="J426" i="4"/>
  <c r="I426" i="4"/>
  <c r="L692" i="4"/>
  <c r="J692" i="4"/>
  <c r="I692" i="4"/>
  <c r="L991" i="4"/>
  <c r="J991" i="4"/>
  <c r="I991" i="4"/>
  <c r="L708" i="4"/>
  <c r="J708" i="4"/>
  <c r="I708" i="4"/>
  <c r="L999" i="4"/>
  <c r="J999" i="4"/>
  <c r="I999" i="4"/>
  <c r="L30" i="4"/>
  <c r="J30" i="4"/>
  <c r="I30" i="4"/>
  <c r="L917" i="4"/>
  <c r="J917" i="4"/>
  <c r="I917" i="4"/>
  <c r="L423" i="4"/>
  <c r="I423" i="4"/>
  <c r="L1431" i="4"/>
  <c r="I1431" i="4"/>
  <c r="L786" i="4"/>
  <c r="J786" i="4"/>
  <c r="I786" i="4"/>
  <c r="L1181" i="4"/>
  <c r="J1181" i="4"/>
  <c r="I1181" i="4"/>
  <c r="L402" i="4"/>
  <c r="J402" i="4"/>
  <c r="I402" i="4"/>
  <c r="L1163" i="4"/>
  <c r="J1163" i="4"/>
  <c r="I1163" i="4"/>
  <c r="L1106" i="4"/>
  <c r="J1106" i="4"/>
  <c r="I1106" i="4"/>
  <c r="L1314" i="4"/>
  <c r="I1314" i="4"/>
  <c r="L336" i="4"/>
  <c r="I336" i="4"/>
  <c r="L38" i="4"/>
  <c r="J38" i="4"/>
  <c r="I38" i="4"/>
  <c r="L777" i="4"/>
  <c r="J777" i="4"/>
  <c r="I777" i="4"/>
  <c r="L486" i="4"/>
  <c r="I486" i="4"/>
  <c r="L358" i="4"/>
  <c r="J358" i="4"/>
  <c r="I358" i="4"/>
  <c r="L1432" i="4"/>
  <c r="J1432" i="4"/>
  <c r="I1432" i="4"/>
  <c r="L454" i="4"/>
  <c r="J454" i="4"/>
  <c r="I454" i="4"/>
  <c r="L365" i="4"/>
  <c r="J365" i="4"/>
  <c r="I365" i="4"/>
  <c r="L1127" i="4"/>
  <c r="J1127" i="4"/>
  <c r="I1127" i="4"/>
  <c r="L815" i="4"/>
  <c r="I815" i="4"/>
  <c r="L974" i="4"/>
  <c r="J974" i="4"/>
  <c r="I974" i="4"/>
  <c r="L1311" i="4"/>
  <c r="J1311" i="4"/>
  <c r="I1311" i="4"/>
  <c r="L1709" i="4"/>
  <c r="J1709" i="4"/>
  <c r="I1709" i="4"/>
  <c r="L713" i="4"/>
  <c r="J713" i="4"/>
  <c r="I713" i="4"/>
  <c r="L1716" i="4"/>
  <c r="J1716" i="4"/>
  <c r="I1716" i="4"/>
  <c r="L1209" i="4"/>
  <c r="J1209" i="4"/>
  <c r="I1209" i="4"/>
  <c r="L1516" i="4"/>
  <c r="J1516" i="4"/>
  <c r="I1516" i="4"/>
  <c r="L292" i="4"/>
  <c r="L1049" i="4"/>
  <c r="J1049" i="4"/>
  <c r="I1049" i="4"/>
  <c r="L647" i="4"/>
  <c r="J647" i="4"/>
  <c r="I647" i="4"/>
  <c r="L1173" i="4"/>
  <c r="J1173" i="4"/>
  <c r="I1173" i="4"/>
  <c r="L856" i="4"/>
  <c r="I856" i="4"/>
  <c r="L1333" i="4"/>
  <c r="I1333" i="4"/>
  <c r="L211" i="4"/>
  <c r="I211" i="4"/>
  <c r="L1582" i="4"/>
  <c r="J1582" i="4"/>
  <c r="I1582" i="4"/>
  <c r="L1045" i="4"/>
  <c r="I1045" i="4"/>
  <c r="L861" i="4"/>
  <c r="J861" i="4"/>
  <c r="I861" i="4"/>
  <c r="I386" i="4"/>
  <c r="L712" i="4"/>
  <c r="J712" i="4"/>
  <c r="I712" i="4"/>
  <c r="L1056" i="4"/>
  <c r="I1056" i="4"/>
  <c r="L659" i="4"/>
  <c r="J659" i="4"/>
  <c r="I659" i="4"/>
  <c r="L5" i="4"/>
  <c r="I5" i="4"/>
  <c r="L827" i="4"/>
  <c r="I827" i="4"/>
  <c r="L1111" i="4"/>
  <c r="J1111" i="4"/>
  <c r="I1111" i="4"/>
  <c r="L194" i="4"/>
  <c r="J194" i="4"/>
  <c r="I194" i="4"/>
  <c r="L619" i="4"/>
  <c r="I619" i="4"/>
  <c r="L842" i="4"/>
  <c r="I842" i="4"/>
  <c r="L1018" i="4"/>
  <c r="I1018" i="4"/>
  <c r="L615" i="4"/>
  <c r="J615" i="4"/>
  <c r="I615" i="4"/>
  <c r="L680" i="4"/>
  <c r="I680" i="4"/>
  <c r="L1079" i="4"/>
  <c r="I1079" i="4"/>
  <c r="L1174" i="4"/>
  <c r="I1174" i="4"/>
  <c r="L373" i="4"/>
  <c r="J373" i="4"/>
  <c r="I373" i="4"/>
  <c r="L956" i="4"/>
  <c r="I956" i="4"/>
  <c r="L391" i="4"/>
  <c r="I391" i="4"/>
  <c r="L1220" i="4"/>
  <c r="I1220" i="4"/>
  <c r="L924" i="4"/>
  <c r="J924" i="4"/>
  <c r="I924" i="4"/>
  <c r="L1666" i="4"/>
  <c r="J1666" i="4"/>
  <c r="I1666" i="4"/>
  <c r="L539" i="4"/>
  <c r="I539" i="4"/>
  <c r="L135" i="4"/>
  <c r="I135" i="4"/>
  <c r="L1066" i="4"/>
  <c r="J1066" i="4"/>
  <c r="I1066" i="4"/>
  <c r="L872" i="4"/>
  <c r="I872" i="4"/>
  <c r="L16" i="4"/>
  <c r="I16" i="4"/>
  <c r="L1489" i="4"/>
  <c r="J1489" i="4"/>
  <c r="I1489" i="4"/>
  <c r="L18" i="4"/>
  <c r="J18" i="4"/>
  <c r="I18" i="4"/>
  <c r="L587" i="4"/>
  <c r="J587" i="4"/>
  <c r="I587" i="4"/>
  <c r="L747" i="4"/>
  <c r="J747" i="4"/>
  <c r="I747" i="4"/>
  <c r="L1447" i="4"/>
  <c r="J1447" i="4"/>
  <c r="I1447" i="4"/>
  <c r="L1245" i="4"/>
  <c r="L369" i="4"/>
  <c r="J369" i="4"/>
  <c r="I369" i="4"/>
  <c r="L852" i="4"/>
  <c r="I852" i="4"/>
  <c r="L36" i="4"/>
  <c r="J36" i="4"/>
  <c r="I36" i="4"/>
  <c r="L413" i="4"/>
  <c r="I413" i="4"/>
  <c r="L1546" i="4"/>
  <c r="I1546" i="4"/>
  <c r="L1268" i="4"/>
  <c r="J1268" i="4"/>
  <c r="I1268" i="4"/>
  <c r="L286" i="4"/>
  <c r="I286" i="4"/>
  <c r="L1729" i="4"/>
  <c r="J1729" i="4"/>
  <c r="I1729" i="4"/>
  <c r="L1321" i="4"/>
  <c r="I1321" i="4"/>
  <c r="L401" i="4"/>
  <c r="J401" i="4"/>
  <c r="I401" i="4"/>
  <c r="L363" i="4"/>
  <c r="I363" i="4"/>
  <c r="L722" i="4"/>
  <c r="I722" i="4"/>
  <c r="J23" i="4"/>
  <c r="I23" i="4"/>
  <c r="L1393" i="4"/>
  <c r="J1393" i="4"/>
  <c r="I1393" i="4"/>
  <c r="L1057" i="4"/>
  <c r="J1057" i="4"/>
  <c r="I1057" i="4"/>
  <c r="L134" i="4"/>
  <c r="J134" i="4"/>
  <c r="I134" i="4"/>
  <c r="L547" i="4"/>
  <c r="J547" i="4"/>
  <c r="I547" i="4"/>
  <c r="L124" i="4"/>
  <c r="J124" i="4"/>
  <c r="I124" i="4"/>
  <c r="J316" i="4"/>
  <c r="I316" i="4"/>
  <c r="L71" i="4"/>
  <c r="J71" i="4"/>
  <c r="I71" i="4"/>
  <c r="L751" i="4"/>
  <c r="J751" i="4"/>
  <c r="I751" i="4"/>
  <c r="L1623" i="4"/>
  <c r="J1623" i="4"/>
  <c r="I1623" i="4"/>
  <c r="L1717" i="4"/>
  <c r="J1717" i="4"/>
  <c r="I1717" i="4"/>
  <c r="L303" i="4"/>
  <c r="I303" i="4"/>
  <c r="L1657" i="4"/>
  <c r="I1657" i="4"/>
  <c r="L495" i="4"/>
  <c r="J495" i="4"/>
  <c r="I495" i="4"/>
  <c r="L1031" i="4"/>
  <c r="J1031" i="4"/>
  <c r="I1031" i="4"/>
  <c r="L682" i="4"/>
  <c r="I682" i="4"/>
  <c r="L236" i="4"/>
  <c r="I236" i="4"/>
  <c r="L641" i="4"/>
  <c r="J641" i="4"/>
  <c r="I641" i="4"/>
  <c r="L157" i="4"/>
  <c r="J157" i="4"/>
  <c r="I157" i="4"/>
  <c r="L381" i="4"/>
  <c r="I381" i="4"/>
  <c r="L720" i="4"/>
  <c r="J720" i="4"/>
  <c r="I720" i="4"/>
  <c r="L592" i="4"/>
  <c r="I592" i="4"/>
  <c r="L1681" i="4"/>
  <c r="I1681" i="4"/>
  <c r="L1005" i="4"/>
  <c r="I1005" i="4"/>
  <c r="L1678" i="4"/>
  <c r="I1678" i="4"/>
  <c r="L761" i="4"/>
  <c r="J761" i="4"/>
  <c r="I761" i="4"/>
  <c r="L766" i="4"/>
  <c r="J766" i="4"/>
  <c r="I766" i="4"/>
  <c r="L97" i="4"/>
  <c r="L403" i="4"/>
  <c r="J403" i="4"/>
  <c r="I403" i="4"/>
  <c r="L1287" i="4"/>
  <c r="J1287" i="4"/>
  <c r="I1287" i="4"/>
  <c r="L249" i="4"/>
  <c r="J249" i="4"/>
  <c r="I249" i="4"/>
  <c r="L1081" i="4"/>
  <c r="J1081" i="4"/>
  <c r="I1081" i="4"/>
  <c r="L644" i="4"/>
  <c r="J644" i="4"/>
  <c r="I644" i="4"/>
  <c r="L1398" i="4"/>
  <c r="I1398" i="4"/>
  <c r="L1636" i="4"/>
  <c r="I1636" i="4"/>
  <c r="L115" i="4"/>
  <c r="I115" i="4"/>
  <c r="L1012" i="4"/>
  <c r="J1012" i="4"/>
  <c r="I1012" i="4"/>
  <c r="L1545" i="4"/>
  <c r="L1389" i="4"/>
  <c r="J1389" i="4"/>
  <c r="I1389" i="4"/>
  <c r="L417" i="4"/>
  <c r="I417" i="4"/>
  <c r="L225" i="4"/>
  <c r="J225" i="4"/>
  <c r="I225" i="4"/>
  <c r="L556" i="4"/>
  <c r="J556" i="4"/>
  <c r="I556" i="4"/>
  <c r="L869" i="4"/>
  <c r="I869" i="4"/>
  <c r="L430" i="4"/>
  <c r="J430" i="4"/>
  <c r="I430" i="4"/>
  <c r="L814" i="4"/>
  <c r="I814" i="4"/>
  <c r="L846" i="4"/>
  <c r="I846" i="4"/>
  <c r="L994" i="4"/>
  <c r="I994" i="4"/>
  <c r="L894" i="4"/>
  <c r="I894" i="4"/>
  <c r="L1249" i="4"/>
  <c r="I1249" i="4"/>
  <c r="L1112" i="4"/>
  <c r="J1112" i="4"/>
  <c r="I1112" i="4"/>
  <c r="L484" i="4"/>
  <c r="J484" i="4"/>
  <c r="I484" i="4"/>
  <c r="L1261" i="4"/>
  <c r="I1261" i="4"/>
  <c r="L742" i="4"/>
  <c r="J742" i="4"/>
  <c r="I742" i="4"/>
  <c r="L184" i="4"/>
  <c r="I184" i="4"/>
  <c r="L221" i="4"/>
  <c r="I221" i="4"/>
  <c r="L1089" i="4"/>
  <c r="I1089" i="4"/>
  <c r="L138" i="4"/>
  <c r="J138" i="4"/>
  <c r="I138" i="4"/>
  <c r="L261" i="4"/>
  <c r="J261" i="4"/>
  <c r="I261" i="4"/>
  <c r="L1165" i="4"/>
  <c r="J1165" i="4"/>
  <c r="I1165" i="4"/>
  <c r="L718" i="4"/>
  <c r="J718" i="4"/>
  <c r="I718" i="4"/>
  <c r="L1375" i="4"/>
  <c r="I1375" i="4"/>
  <c r="L1266" i="4"/>
  <c r="J1266" i="4"/>
  <c r="I1266" i="4"/>
  <c r="L1478" i="4"/>
  <c r="J1478" i="4"/>
  <c r="I1478" i="4"/>
  <c r="L192" i="4"/>
  <c r="J192" i="4"/>
  <c r="I192" i="4"/>
  <c r="L1120" i="4"/>
  <c r="J1120" i="4"/>
  <c r="I1120" i="4"/>
  <c r="L1711" i="4"/>
  <c r="I1711" i="4"/>
  <c r="L234" i="4"/>
  <c r="J234" i="4"/>
  <c r="I234" i="4"/>
  <c r="L1256" i="4"/>
  <c r="I1256" i="4"/>
  <c r="L1728" i="4"/>
  <c r="I1728" i="4"/>
  <c r="L1069" i="4"/>
  <c r="I1069" i="4"/>
  <c r="L10" i="4"/>
  <c r="I10" i="4"/>
  <c r="L938" i="4"/>
  <c r="I938" i="4"/>
  <c r="L187" i="4"/>
  <c r="I187" i="4"/>
  <c r="L1612" i="4"/>
  <c r="J1612" i="4"/>
  <c r="I1612" i="4"/>
  <c r="L404" i="4"/>
  <c r="L1302" i="4"/>
  <c r="J1302" i="4"/>
  <c r="I1302" i="4"/>
  <c r="L99" i="4"/>
  <c r="J99" i="4"/>
  <c r="I99" i="4"/>
  <c r="L1434" i="4"/>
  <c r="J1434" i="4"/>
  <c r="I1434" i="4"/>
  <c r="L106" i="4"/>
  <c r="I106" i="4"/>
  <c r="L1591" i="4"/>
  <c r="J1591" i="4"/>
  <c r="I1591" i="4"/>
  <c r="L931" i="4"/>
  <c r="J931" i="4"/>
  <c r="I931" i="4"/>
  <c r="L121" i="4"/>
  <c r="J121" i="4"/>
  <c r="I121" i="4"/>
  <c r="L1028" i="4"/>
  <c r="J1028" i="4"/>
  <c r="I1028" i="4"/>
  <c r="L1093" i="4"/>
  <c r="I1093" i="4"/>
  <c r="L1394" i="4"/>
  <c r="J1394" i="4"/>
  <c r="I1394" i="4"/>
  <c r="L936" i="4"/>
  <c r="I936" i="4"/>
  <c r="L716" i="4"/>
  <c r="J716" i="4"/>
  <c r="I716" i="4"/>
  <c r="L687" i="4"/>
  <c r="J687" i="4"/>
  <c r="I687" i="4"/>
  <c r="L1125" i="4"/>
  <c r="I1125" i="4"/>
  <c r="L1201" i="4"/>
  <c r="J1201" i="4"/>
  <c r="I1201" i="4"/>
  <c r="L1723" i="4"/>
  <c r="J1723" i="4"/>
  <c r="I1723" i="4"/>
  <c r="L928" i="4"/>
  <c r="I928" i="4"/>
  <c r="L769" i="4"/>
  <c r="J769" i="4"/>
  <c r="I769" i="4"/>
  <c r="L1214" i="4"/>
  <c r="J1214" i="4"/>
  <c r="I1214" i="4"/>
  <c r="L724" i="4"/>
  <c r="I724" i="4"/>
  <c r="L1041" i="4"/>
  <c r="I1041" i="4"/>
  <c r="L1631" i="4"/>
  <c r="J1631" i="4"/>
  <c r="I1631" i="4"/>
  <c r="L1404" i="4"/>
  <c r="I1404" i="4"/>
  <c r="L982" i="4"/>
  <c r="I982" i="4"/>
  <c r="L942" i="4"/>
  <c r="J942" i="4"/>
  <c r="I942" i="4"/>
  <c r="L804" i="4"/>
  <c r="L420" i="4"/>
  <c r="J420" i="4"/>
  <c r="I420" i="4"/>
  <c r="L865" i="4"/>
  <c r="I865" i="4"/>
  <c r="L379" i="4"/>
  <c r="J379" i="4"/>
  <c r="I379" i="4"/>
  <c r="L232" i="4"/>
  <c r="I232" i="4"/>
  <c r="L20" i="4"/>
  <c r="I20" i="4"/>
  <c r="L1522" i="4"/>
  <c r="I1522" i="4"/>
  <c r="L422" i="4"/>
  <c r="I422" i="4"/>
  <c r="L1436" i="4"/>
  <c r="I1436" i="4"/>
  <c r="L575" i="4"/>
  <c r="J575" i="4"/>
  <c r="I575" i="4"/>
  <c r="L1396" i="4"/>
  <c r="J1396" i="4"/>
  <c r="I1396" i="4"/>
  <c r="L1177" i="4"/>
  <c r="I1177" i="4"/>
  <c r="L1037" i="4"/>
  <c r="I1037" i="4"/>
  <c r="L833" i="4"/>
  <c r="J833" i="4"/>
  <c r="I833" i="4"/>
  <c r="L95" i="4"/>
  <c r="J95" i="4"/>
  <c r="I95" i="4"/>
  <c r="L298" i="4"/>
  <c r="I298" i="4"/>
  <c r="L847" i="4"/>
  <c r="J847" i="4"/>
  <c r="I847" i="4"/>
  <c r="L1667" i="4"/>
  <c r="J1667" i="4"/>
  <c r="I1667" i="4"/>
  <c r="L1024" i="4"/>
  <c r="I1024" i="4"/>
  <c r="L180" i="4"/>
  <c r="I180" i="4"/>
  <c r="L758" i="4"/>
  <c r="J758" i="4"/>
  <c r="I758" i="4"/>
  <c r="L909" i="4"/>
  <c r="I909" i="4"/>
  <c r="L353" i="4"/>
  <c r="I353" i="4"/>
  <c r="L1345" i="4"/>
  <c r="I1345" i="4"/>
  <c r="L1104" i="4"/>
  <c r="I1104" i="4"/>
  <c r="L835" i="4"/>
  <c r="I835" i="4"/>
  <c r="L1644" i="4"/>
  <c r="I1644" i="4"/>
  <c r="L1186" i="4"/>
  <c r="I1186" i="4"/>
  <c r="L219" i="4"/>
  <c r="J219" i="4"/>
  <c r="I219" i="4"/>
  <c r="L868" i="4"/>
  <c r="I868" i="4"/>
  <c r="L681" i="4"/>
  <c r="J681" i="4"/>
  <c r="I681" i="4"/>
  <c r="L1349" i="4"/>
  <c r="I1349" i="4"/>
  <c r="L557" i="4"/>
  <c r="J557" i="4"/>
  <c r="I557" i="4"/>
  <c r="L754" i="4"/>
  <c r="I754" i="4"/>
  <c r="L164" i="4"/>
  <c r="J164" i="4"/>
  <c r="I164" i="4"/>
  <c r="L1252" i="4"/>
  <c r="J1252" i="4"/>
  <c r="I1252" i="4"/>
  <c r="L195" i="4"/>
  <c r="I195" i="4"/>
  <c r="L1067" i="4"/>
  <c r="J1067" i="4"/>
  <c r="I1067" i="4"/>
  <c r="L1192" i="4"/>
  <c r="J1192" i="4"/>
  <c r="I1192" i="4"/>
  <c r="L1316" i="4"/>
  <c r="I1316" i="4"/>
  <c r="L690" i="4"/>
  <c r="I690" i="4"/>
  <c r="L1035" i="4"/>
  <c r="J1035" i="4"/>
  <c r="I1035" i="4"/>
  <c r="L69" i="4"/>
  <c r="J69" i="4"/>
  <c r="I69" i="4"/>
  <c r="L645" i="4"/>
  <c r="J645" i="4"/>
  <c r="I645" i="4"/>
  <c r="L1413" i="4"/>
  <c r="I1413" i="4"/>
  <c r="L1699" i="4"/>
  <c r="J1699" i="4"/>
  <c r="I1699" i="4"/>
  <c r="L1403" i="4"/>
  <c r="I1403" i="4"/>
  <c r="L1550" i="4"/>
  <c r="I1550" i="4"/>
  <c r="L695" i="4"/>
  <c r="I695" i="4"/>
  <c r="L84" i="4"/>
  <c r="I84" i="4"/>
  <c r="L1297" i="4"/>
  <c r="I1297" i="4"/>
  <c r="L433" i="4"/>
  <c r="I433" i="4"/>
  <c r="L1441" i="4"/>
  <c r="I1441" i="4"/>
  <c r="L1592" i="4"/>
  <c r="J1592" i="4"/>
  <c r="I1592" i="4"/>
  <c r="L313" i="4"/>
  <c r="I313" i="4"/>
  <c r="L1246" i="4"/>
  <c r="J1246" i="4"/>
  <c r="I1246" i="4"/>
  <c r="L1520" i="4"/>
  <c r="J1520" i="4"/>
  <c r="I1520" i="4"/>
  <c r="L978" i="4"/>
  <c r="J978" i="4"/>
  <c r="I978" i="4"/>
  <c r="L1063" i="4"/>
  <c r="J1063" i="4"/>
  <c r="I1063" i="4"/>
  <c r="L545" i="4"/>
  <c r="I545" i="4"/>
  <c r="L735" i="4"/>
  <c r="J735" i="4"/>
  <c r="I735" i="4"/>
  <c r="L1360" i="4"/>
  <c r="I1360" i="4"/>
  <c r="L288" i="4"/>
  <c r="J288" i="4"/>
  <c r="I288" i="4"/>
  <c r="L1590" i="4"/>
  <c r="I1590" i="4"/>
  <c r="L864" i="4"/>
  <c r="I864" i="4"/>
  <c r="L397" i="4"/>
  <c r="J397" i="4"/>
  <c r="I397" i="4"/>
  <c r="L31" i="4"/>
  <c r="I31" i="4"/>
  <c r="L731" i="4"/>
  <c r="J731" i="4"/>
  <c r="I731" i="4"/>
  <c r="L1281" i="4"/>
  <c r="J1281" i="4"/>
  <c r="I1281" i="4"/>
  <c r="L1322" i="4"/>
  <c r="I1322" i="4"/>
  <c r="L1113" i="4"/>
  <c r="J1113" i="4"/>
  <c r="I1113" i="4"/>
  <c r="L1536" i="4"/>
  <c r="J1536" i="4"/>
  <c r="I1536" i="4"/>
  <c r="L39" i="4"/>
  <c r="I39" i="4"/>
  <c r="L808" i="4"/>
  <c r="J808" i="4"/>
  <c r="I808" i="4"/>
  <c r="L405" i="4"/>
  <c r="J405" i="4"/>
  <c r="I405" i="4"/>
  <c r="L1616" i="4"/>
  <c r="I1616" i="4"/>
  <c r="L602" i="4"/>
  <c r="I602" i="4"/>
  <c r="L1632" i="4"/>
  <c r="J1632" i="4"/>
  <c r="I1632" i="4"/>
  <c r="L1128" i="4"/>
  <c r="I1128" i="4"/>
  <c r="L781" i="4"/>
  <c r="J781" i="4"/>
  <c r="I781" i="4"/>
  <c r="L457" i="4"/>
  <c r="J457" i="4"/>
  <c r="I457" i="4"/>
  <c r="L1646" i="4"/>
  <c r="I1646" i="4"/>
  <c r="L1348" i="4"/>
  <c r="I1348" i="4"/>
  <c r="L1401" i="4"/>
  <c r="I1401" i="4"/>
  <c r="L368" i="4"/>
  <c r="J368" i="4"/>
  <c r="I368" i="4"/>
  <c r="L1040" i="4"/>
  <c r="I1040" i="4"/>
  <c r="L1628" i="4"/>
  <c r="J1628" i="4"/>
  <c r="I1628" i="4"/>
  <c r="L845" i="4"/>
  <c r="I845" i="4"/>
  <c r="L905" i="4"/>
  <c r="I905" i="4"/>
  <c r="L256" i="4"/>
  <c r="J256" i="4"/>
  <c r="I256" i="4"/>
  <c r="L1696" i="4"/>
  <c r="I1696" i="4"/>
  <c r="L554" i="4"/>
  <c r="J554" i="4"/>
  <c r="I554" i="4"/>
  <c r="L216" i="4"/>
  <c r="I216" i="4"/>
  <c r="L112" i="4"/>
  <c r="I112" i="4"/>
  <c r="L849" i="4"/>
  <c r="J849" i="4"/>
  <c r="I849" i="4"/>
  <c r="L1567" i="4"/>
  <c r="I1567" i="4"/>
  <c r="L412" i="4"/>
  <c r="J412" i="4"/>
  <c r="I412" i="4"/>
  <c r="L1084" i="4"/>
  <c r="I1084" i="4"/>
  <c r="L957" i="4"/>
  <c r="J957" i="4"/>
  <c r="I957" i="4"/>
  <c r="L101" i="4"/>
  <c r="J101" i="4"/>
  <c r="I101" i="4"/>
  <c r="L1621" i="4"/>
  <c r="J1621" i="4"/>
  <c r="I1621" i="4"/>
  <c r="L573" i="4"/>
  <c r="J573" i="4"/>
  <c r="I573" i="4"/>
  <c r="L1234" i="4"/>
  <c r="J1234" i="4"/>
  <c r="I1234" i="4"/>
  <c r="L1151" i="4"/>
  <c r="I1151" i="4"/>
  <c r="L1652" i="4"/>
  <c r="I1652" i="4"/>
  <c r="L717" i="4"/>
  <c r="J717" i="4"/>
  <c r="I717" i="4"/>
  <c r="L604" i="4"/>
  <c r="I604" i="4"/>
  <c r="L1557" i="4"/>
  <c r="I1557" i="4"/>
  <c r="L1428" i="4"/>
  <c r="I1428" i="4"/>
  <c r="L1086" i="4"/>
  <c r="I1086" i="4"/>
  <c r="L311" i="4"/>
  <c r="I311" i="4"/>
  <c r="L385" i="4"/>
  <c r="I385" i="4"/>
  <c r="L515" i="4"/>
  <c r="J515" i="4"/>
  <c r="I515" i="4"/>
  <c r="L1519" i="4"/>
  <c r="I1519" i="4"/>
  <c r="L1243" i="4"/>
  <c r="I1243" i="4"/>
  <c r="L1670" i="4"/>
  <c r="J1670" i="4"/>
  <c r="I1670" i="4"/>
  <c r="L788" i="4"/>
  <c r="I788" i="4"/>
  <c r="L1324" i="4"/>
  <c r="I1324" i="4"/>
  <c r="L330" i="4"/>
  <c r="J330" i="4"/>
  <c r="I330" i="4"/>
  <c r="L175" i="4"/>
  <c r="J175" i="4"/>
  <c r="I175" i="4"/>
  <c r="L1529" i="4"/>
  <c r="J1529" i="4"/>
  <c r="I1529" i="4"/>
  <c r="L9" i="4"/>
  <c r="J9" i="4"/>
  <c r="I9" i="4"/>
  <c r="L1658" i="4"/>
  <c r="J1658" i="4"/>
  <c r="I1658" i="4"/>
  <c r="L1303" i="4"/>
  <c r="J1303" i="4"/>
  <c r="I1303" i="4"/>
  <c r="L1270" i="4"/>
  <c r="I1270" i="4"/>
  <c r="L1305" i="4"/>
  <c r="I1305" i="4"/>
  <c r="L1378" i="4"/>
  <c r="J1378" i="4"/>
  <c r="I1378" i="4"/>
  <c r="L1135" i="4"/>
  <c r="I1135" i="4"/>
  <c r="L1718" i="4"/>
  <c r="J1718" i="4"/>
  <c r="I1718" i="4"/>
  <c r="L1164" i="4"/>
  <c r="I1164" i="4"/>
  <c r="L1006" i="4"/>
  <c r="I1006" i="4"/>
  <c r="L468" i="4"/>
  <c r="I468" i="4"/>
  <c r="L510" i="4"/>
  <c r="I510" i="4"/>
  <c r="L1383" i="4"/>
  <c r="J1383" i="4"/>
  <c r="I1383" i="4"/>
  <c r="L559" i="4"/>
  <c r="J559" i="4"/>
  <c r="I559" i="4"/>
  <c r="L1686" i="4"/>
  <c r="J1686" i="4"/>
  <c r="I1686" i="4"/>
  <c r="L1023" i="4"/>
  <c r="I1023" i="4"/>
  <c r="L478" i="4"/>
  <c r="I478" i="4"/>
  <c r="L123" i="4"/>
  <c r="J123" i="4"/>
  <c r="I123" i="4"/>
  <c r="L667" i="4"/>
  <c r="J667" i="4"/>
  <c r="I667" i="4"/>
  <c r="L1294" i="4"/>
  <c r="J1294" i="4"/>
  <c r="I1294" i="4"/>
  <c r="L274" i="4"/>
  <c r="I274" i="4"/>
  <c r="L1714" i="4"/>
  <c r="J1714" i="4"/>
  <c r="I1714" i="4"/>
  <c r="L1569" i="4"/>
  <c r="I1569" i="4"/>
  <c r="L774" i="4"/>
  <c r="J774" i="4"/>
  <c r="I774" i="4"/>
  <c r="L676" i="4"/>
  <c r="J676" i="4"/>
  <c r="I676" i="4"/>
  <c r="L838" i="4"/>
  <c r="J838" i="4"/>
  <c r="I838" i="4"/>
  <c r="L1366" i="4"/>
  <c r="J1366" i="4"/>
  <c r="I1366" i="4"/>
  <c r="L270" i="4"/>
  <c r="J270" i="4"/>
  <c r="I270" i="4"/>
  <c r="L1532" i="4"/>
  <c r="J1532" i="4"/>
  <c r="I1532" i="4"/>
  <c r="L191" i="4"/>
  <c r="I191" i="4"/>
  <c r="L1374" i="4"/>
  <c r="I1374" i="4"/>
  <c r="L1158" i="4"/>
  <c r="J1158" i="4"/>
  <c r="I1158" i="4"/>
  <c r="L1309" i="4"/>
  <c r="I1309" i="4"/>
  <c r="L1253" i="4"/>
  <c r="I1253" i="4"/>
  <c r="L981" i="4"/>
  <c r="I981" i="4"/>
  <c r="L102" i="4"/>
  <c r="I102" i="4"/>
  <c r="L1082" i="4"/>
  <c r="J1082" i="4"/>
  <c r="I1082" i="4"/>
  <c r="L1248" i="4"/>
  <c r="I1248" i="4"/>
  <c r="L1341" i="4"/>
  <c r="I1341" i="4"/>
  <c r="L896" i="4"/>
  <c r="J896" i="4"/>
  <c r="I896" i="4"/>
  <c r="L132" i="4"/>
  <c r="J132" i="4"/>
  <c r="I132" i="4"/>
  <c r="L1001" i="4"/>
  <c r="J1001" i="4"/>
  <c r="I1001" i="4"/>
  <c r="L514" i="4"/>
  <c r="I514" i="4"/>
  <c r="L35" i="4"/>
  <c r="I35" i="4"/>
  <c r="L390" i="4"/>
  <c r="I390" i="4"/>
  <c r="L555" i="4"/>
  <c r="J555" i="4"/>
  <c r="I555" i="4"/>
  <c r="L206" i="4"/>
  <c r="I206" i="4"/>
  <c r="L113" i="4"/>
  <c r="J113" i="4"/>
  <c r="I113" i="4"/>
  <c r="L564" i="4"/>
  <c r="J564" i="4"/>
  <c r="I564" i="4"/>
  <c r="L332" i="4"/>
  <c r="J332" i="4"/>
  <c r="I332" i="4"/>
  <c r="L1538" i="4"/>
  <c r="L726" i="4"/>
  <c r="I726" i="4"/>
  <c r="L1130" i="4"/>
  <c r="J1130" i="4"/>
  <c r="I1130" i="4"/>
  <c r="L1498" i="4"/>
  <c r="I1498" i="4"/>
  <c r="L1668" i="4"/>
  <c r="I1668" i="4"/>
  <c r="L1486" i="4"/>
  <c r="J1486" i="4"/>
  <c r="I1486" i="4"/>
  <c r="L1137" i="4"/>
  <c r="I1137" i="4"/>
  <c r="L1584" i="4"/>
  <c r="I1584" i="4"/>
  <c r="L331" i="4"/>
  <c r="I331" i="4"/>
  <c r="L494" i="4"/>
  <c r="J494" i="4"/>
  <c r="I494" i="4"/>
  <c r="L803" i="4"/>
  <c r="J803" i="4"/>
  <c r="I803" i="4"/>
  <c r="L691" i="4"/>
  <c r="J691" i="4"/>
  <c r="I691" i="4"/>
  <c r="L949" i="4"/>
  <c r="J949" i="4"/>
  <c r="I949" i="4"/>
  <c r="L387" i="4"/>
  <c r="J387" i="4"/>
  <c r="I387" i="4"/>
  <c r="L542" i="4"/>
  <c r="L1269" i="4"/>
  <c r="I1269" i="4"/>
  <c r="L528" i="4"/>
  <c r="J528" i="4"/>
  <c r="I528" i="4"/>
  <c r="L1660" i="4"/>
  <c r="J1660" i="4"/>
  <c r="I1660" i="4"/>
  <c r="L672" i="4"/>
  <c r="I672" i="4"/>
  <c r="L562" i="4"/>
  <c r="I562" i="4"/>
  <c r="L655" i="4"/>
  <c r="J655" i="4"/>
  <c r="I655" i="4"/>
  <c r="L1312" i="4"/>
  <c r="J1312" i="4"/>
  <c r="I1312" i="4"/>
  <c r="L1691" i="4"/>
  <c r="I1691" i="4"/>
  <c r="L552" i="4"/>
  <c r="J552" i="4"/>
  <c r="I552" i="4"/>
  <c r="L1414" i="4"/>
  <c r="J1414" i="4"/>
  <c r="I1414" i="4"/>
  <c r="L415" i="4"/>
  <c r="I415" i="4"/>
  <c r="L964" i="4"/>
  <c r="I964" i="4"/>
  <c r="L1195" i="4"/>
  <c r="J1195" i="4"/>
  <c r="I1195" i="4"/>
  <c r="L1241" i="4"/>
  <c r="J1241" i="4"/>
  <c r="I1241" i="4"/>
  <c r="L360" i="4"/>
  <c r="J360" i="4"/>
  <c r="I360" i="4"/>
  <c r="L1503" i="4"/>
  <c r="J1503" i="4"/>
  <c r="I1503" i="4"/>
  <c r="L1263" i="4"/>
  <c r="J1263" i="4"/>
  <c r="I1263" i="4"/>
  <c r="L429" i="4"/>
  <c r="J429" i="4"/>
  <c r="I429" i="4"/>
  <c r="L684" i="4"/>
  <c r="J684" i="4"/>
  <c r="I684" i="4"/>
  <c r="L1140" i="4"/>
  <c r="J1140" i="4"/>
  <c r="I1140" i="4"/>
  <c r="L1618" i="4"/>
  <c r="I1618" i="4"/>
  <c r="L1637" i="4"/>
  <c r="J1637" i="4"/>
  <c r="I1637" i="4"/>
  <c r="L1541" i="4"/>
  <c r="I1541" i="4"/>
  <c r="L293" i="4"/>
  <c r="J293" i="4"/>
  <c r="I293" i="4"/>
  <c r="L1609" i="4"/>
  <c r="I1609" i="4"/>
  <c r="L633" i="4"/>
  <c r="I633" i="4"/>
  <c r="L1392" i="4"/>
  <c r="I1392" i="4"/>
  <c r="L1149" i="4"/>
  <c r="J1149" i="4"/>
  <c r="I1149" i="4"/>
  <c r="L1553" i="4"/>
  <c r="I1553" i="4"/>
  <c r="L1649" i="4"/>
  <c r="I1649" i="4"/>
  <c r="L940" i="4"/>
  <c r="I940" i="4"/>
  <c r="L144" i="4"/>
  <c r="J144" i="4"/>
  <c r="I144" i="4"/>
  <c r="L414" i="4"/>
  <c r="I414" i="4"/>
  <c r="L444" i="4"/>
  <c r="I444" i="4"/>
  <c r="L189" i="4"/>
  <c r="I189" i="4"/>
  <c r="L376" i="4"/>
  <c r="I376" i="4"/>
  <c r="L443" i="4"/>
  <c r="J443" i="4"/>
  <c r="I443" i="4"/>
  <c r="L955" i="4"/>
  <c r="J955" i="4"/>
  <c r="I955" i="4"/>
  <c r="L1554" i="4"/>
  <c r="J1554" i="4"/>
  <c r="I1554" i="4"/>
  <c r="L664" i="4"/>
  <c r="I664" i="4"/>
  <c r="L745" i="4"/>
  <c r="J745" i="4"/>
  <c r="I745" i="4"/>
  <c r="L347" i="4"/>
  <c r="J347" i="4"/>
  <c r="I347" i="4"/>
  <c r="L118" i="4"/>
  <c r="J118" i="4"/>
  <c r="I118" i="4"/>
  <c r="L93" i="4"/>
  <c r="I93" i="4"/>
  <c r="L1282" i="4"/>
  <c r="I1282" i="4"/>
  <c r="L375" i="4"/>
  <c r="I375" i="4"/>
  <c r="L380" i="4"/>
  <c r="I380" i="4"/>
  <c r="L789" i="4"/>
  <c r="I789" i="4"/>
  <c r="L876" i="4"/>
  <c r="I876" i="4"/>
  <c r="L1721" i="4"/>
  <c r="I1721" i="4"/>
  <c r="L1438" i="4"/>
  <c r="I1438" i="4"/>
  <c r="L434" i="4"/>
  <c r="I434" i="4"/>
  <c r="L1527" i="4"/>
  <c r="J1527" i="4"/>
  <c r="I1527" i="4"/>
  <c r="L1078" i="4"/>
  <c r="I1078" i="4"/>
  <c r="L653" i="4"/>
  <c r="I653" i="4"/>
  <c r="L935" i="4"/>
  <c r="I935" i="4"/>
  <c r="L1549" i="4"/>
  <c r="J1549" i="4"/>
  <c r="I1549" i="4"/>
  <c r="L67" i="4"/>
  <c r="J67" i="4"/>
  <c r="I67" i="4"/>
  <c r="L340" i="4"/>
  <c r="J340" i="4"/>
  <c r="I340" i="4"/>
  <c r="L1118" i="4"/>
  <c r="J1118" i="4"/>
  <c r="I1118" i="4"/>
  <c r="L1003" i="4"/>
  <c r="I1003" i="4"/>
  <c r="L530" i="4"/>
  <c r="J530" i="4"/>
  <c r="I530" i="4"/>
  <c r="L357" i="4"/>
  <c r="J357" i="4"/>
  <c r="I357" i="4"/>
  <c r="L741" i="4"/>
  <c r="I741" i="4"/>
  <c r="L320" i="4"/>
  <c r="J320" i="4"/>
  <c r="I320" i="4"/>
  <c r="L796" i="4"/>
  <c r="I796" i="4"/>
  <c r="L757" i="4"/>
  <c r="I757" i="4"/>
  <c r="L393" i="4"/>
  <c r="I393" i="4"/>
  <c r="L1638" i="4"/>
  <c r="J1638" i="4"/>
  <c r="I1638" i="4"/>
  <c r="L1105" i="4"/>
  <c r="J1105" i="4"/>
  <c r="I1105" i="4"/>
  <c r="L930" i="4"/>
  <c r="J930" i="4"/>
  <c r="I930" i="4"/>
  <c r="L44" i="4"/>
  <c r="J44" i="4"/>
  <c r="I44" i="4"/>
  <c r="L1635" i="4"/>
  <c r="J1635" i="4"/>
  <c r="I1635" i="4"/>
  <c r="L19" i="4"/>
  <c r="I19" i="4"/>
  <c r="L1640" i="4"/>
  <c r="J1640" i="4"/>
  <c r="I1640" i="4"/>
  <c r="L1619" i="4"/>
  <c r="I1619" i="4"/>
  <c r="L400" i="4"/>
  <c r="J400" i="4"/>
  <c r="I400" i="4"/>
  <c r="L583" i="4"/>
  <c r="J583" i="4"/>
  <c r="I583" i="4"/>
  <c r="L1705" i="4"/>
  <c r="I1705" i="4"/>
  <c r="L646" i="4"/>
  <c r="J646" i="4"/>
  <c r="I646" i="4"/>
  <c r="L1457" i="4"/>
  <c r="J1457" i="4"/>
  <c r="I1457" i="4"/>
  <c r="L1242" i="4"/>
  <c r="J1242" i="4"/>
  <c r="I1242" i="4"/>
  <c r="L1016" i="4"/>
  <c r="J1016" i="4"/>
  <c r="I1016" i="4"/>
  <c r="L1515" i="4"/>
  <c r="J1515" i="4"/>
  <c r="I1515" i="4"/>
  <c r="L284" i="4"/>
  <c r="J284" i="4"/>
  <c r="I284" i="4"/>
  <c r="L1690" i="4"/>
  <c r="I1690" i="4"/>
  <c r="L1267" i="4"/>
  <c r="J1267" i="4"/>
  <c r="I1267" i="4"/>
  <c r="L986" i="4"/>
  <c r="J986" i="4"/>
  <c r="I986" i="4"/>
  <c r="L517" i="4"/>
  <c r="J517" i="4"/>
  <c r="I517" i="4"/>
  <c r="L1679" i="4"/>
  <c r="I1679" i="4"/>
  <c r="L1008" i="4"/>
  <c r="J1008" i="4"/>
  <c r="I1008" i="4"/>
  <c r="L1230" i="4"/>
  <c r="J1230" i="4"/>
  <c r="I1230" i="4"/>
  <c r="L442" i="4"/>
  <c r="J442" i="4"/>
  <c r="I442" i="4"/>
  <c r="L785" i="4"/>
  <c r="J785" i="4"/>
  <c r="I785" i="4"/>
  <c r="L637" i="4"/>
  <c r="J637" i="4"/>
  <c r="I637" i="4"/>
  <c r="L1363" i="4"/>
  <c r="J1363" i="4"/>
  <c r="I1363" i="4"/>
  <c r="L1593" i="4"/>
  <c r="I1593" i="4"/>
  <c r="L1121" i="4"/>
  <c r="J1121" i="4"/>
  <c r="I1121" i="4"/>
  <c r="L1221" i="4"/>
  <c r="J1221" i="4"/>
  <c r="I1221" i="4"/>
  <c r="L1517" i="4"/>
  <c r="J1517" i="4"/>
  <c r="I1517" i="4"/>
  <c r="L1276" i="4"/>
  <c r="I1276" i="4"/>
  <c r="L1526" i="4"/>
  <c r="J1526" i="4"/>
  <c r="I1526" i="4"/>
  <c r="L744" i="4"/>
  <c r="J744" i="4"/>
  <c r="I744" i="4"/>
  <c r="L1271" i="4"/>
  <c r="I1271" i="4"/>
  <c r="L248" i="4"/>
  <c r="I248" i="4"/>
  <c r="L416" i="4"/>
  <c r="I416" i="4"/>
  <c r="L529" i="4"/>
  <c r="J529" i="4"/>
  <c r="I529" i="4"/>
  <c r="L1043" i="4"/>
  <c r="J1043" i="4"/>
  <c r="I1043" i="4"/>
  <c r="L1449" i="4"/>
  <c r="I1449" i="4"/>
  <c r="L148" i="4"/>
  <c r="J148" i="4"/>
  <c r="I148" i="4"/>
  <c r="L888" i="4"/>
  <c r="J888" i="4"/>
  <c r="I888" i="4"/>
  <c r="L1371" i="4"/>
  <c r="L670" i="4"/>
  <c r="I670" i="4"/>
  <c r="L1491" i="4"/>
  <c r="J1491" i="4"/>
  <c r="I1491" i="4"/>
  <c r="L1100" i="4"/>
  <c r="I1100" i="4"/>
  <c r="L721" i="4"/>
  <c r="I721" i="4"/>
  <c r="L57" i="4"/>
  <c r="J57" i="4"/>
  <c r="I57" i="4"/>
  <c r="L862" i="4"/>
  <c r="I862" i="4"/>
  <c r="L502" i="4"/>
  <c r="J502" i="4"/>
  <c r="I502" i="4"/>
  <c r="L1159" i="4"/>
  <c r="J1159" i="4"/>
  <c r="I1159" i="4"/>
  <c r="L1694" i="4"/>
  <c r="I1694" i="4"/>
  <c r="L155" i="4"/>
  <c r="I155" i="4"/>
  <c r="L902" i="4"/>
  <c r="I902" i="4"/>
  <c r="L1558" i="4"/>
  <c r="J1558" i="4"/>
  <c r="I1558" i="4"/>
  <c r="L736" i="4"/>
  <c r="J736" i="4"/>
  <c r="I736" i="4"/>
  <c r="L1180" i="4"/>
  <c r="I1180" i="4"/>
  <c r="L383" i="4"/>
  <c r="J383" i="4"/>
  <c r="I383" i="4"/>
  <c r="L1552" i="4"/>
  <c r="I1552" i="4"/>
  <c r="L1083" i="4"/>
  <c r="I1083" i="4"/>
  <c r="L258" i="4"/>
  <c r="J258" i="4"/>
  <c r="I258" i="4"/>
  <c r="L344" i="4"/>
  <c r="J344" i="4"/>
  <c r="I344" i="4"/>
  <c r="L795" i="4"/>
  <c r="J795" i="4"/>
  <c r="I795" i="4"/>
  <c r="L1524" i="4"/>
  <c r="J1524" i="4"/>
  <c r="I1524" i="4"/>
  <c r="L325" i="4"/>
  <c r="I325" i="4"/>
  <c r="L698" i="4"/>
  <c r="J698" i="4"/>
  <c r="I698" i="4"/>
  <c r="L951" i="4"/>
  <c r="J951" i="4"/>
  <c r="I951" i="4"/>
  <c r="L231" i="4"/>
  <c r="J231" i="4"/>
  <c r="I231" i="4"/>
  <c r="L1700" i="4"/>
  <c r="I1700" i="4"/>
  <c r="L918" i="4"/>
  <c r="J918" i="4"/>
  <c r="I918" i="4"/>
  <c r="L1286" i="4"/>
  <c r="I1286" i="4"/>
  <c r="L883" i="4"/>
  <c r="I883" i="4"/>
  <c r="L571" i="4"/>
  <c r="I571" i="4"/>
  <c r="L1583" i="4"/>
  <c r="J1583" i="4"/>
  <c r="I1583" i="4"/>
  <c r="L988" i="4"/>
  <c r="J988" i="4"/>
  <c r="I988" i="4"/>
  <c r="L1513" i="4"/>
  <c r="J1513" i="4"/>
  <c r="I1513" i="4"/>
  <c r="L151" i="4"/>
  <c r="I151" i="4"/>
  <c r="L1226" i="4"/>
  <c r="J1226" i="4"/>
  <c r="I1226" i="4"/>
  <c r="L432" i="4"/>
  <c r="J432" i="4"/>
  <c r="I432" i="4"/>
  <c r="L824" i="4"/>
  <c r="J824" i="4"/>
  <c r="I824" i="4"/>
  <c r="L128" i="4"/>
  <c r="I128" i="4"/>
  <c r="L901" i="4"/>
  <c r="J901" i="4"/>
  <c r="I901" i="4"/>
  <c r="L629" i="4"/>
  <c r="J629" i="4"/>
  <c r="I629" i="4"/>
  <c r="L24" i="4"/>
  <c r="I24" i="4"/>
  <c r="L1304" i="4"/>
  <c r="J1304" i="4"/>
  <c r="I1304" i="4"/>
  <c r="L1002" i="4"/>
  <c r="J1002" i="4"/>
  <c r="I1002" i="4"/>
  <c r="L1585" i="4"/>
  <c r="J1585" i="4"/>
  <c r="I1585" i="4"/>
  <c r="L678" i="4"/>
  <c r="I678" i="4"/>
  <c r="L51" i="4"/>
  <c r="J51" i="4"/>
  <c r="I51" i="4"/>
  <c r="L1036" i="4"/>
  <c r="J1036" i="4"/>
  <c r="I1036" i="4"/>
  <c r="L1588" i="4"/>
  <c r="I1588" i="4"/>
  <c r="L762" i="4"/>
  <c r="J762" i="4"/>
  <c r="I762" i="4"/>
  <c r="L280" i="4"/>
  <c r="J280" i="4"/>
  <c r="I280" i="4"/>
  <c r="L109" i="4"/>
  <c r="J109" i="4"/>
  <c r="I109" i="4"/>
  <c r="L1463" i="4"/>
  <c r="J1463" i="4"/>
  <c r="I1463" i="4"/>
  <c r="L282" i="4"/>
  <c r="I282" i="4"/>
  <c r="L75" i="4"/>
  <c r="J75" i="4"/>
  <c r="I75" i="4"/>
  <c r="L431" i="4"/>
  <c r="I431" i="4"/>
  <c r="L1283" i="4"/>
  <c r="J1283" i="4"/>
  <c r="I1283" i="4"/>
  <c r="L863" i="4"/>
  <c r="I863" i="4"/>
  <c r="I47" i="4"/>
  <c r="L1473" i="4"/>
  <c r="J1473" i="4"/>
  <c r="I1473" i="4"/>
  <c r="L992" i="4"/>
  <c r="J992" i="4"/>
  <c r="I992" i="4"/>
  <c r="L746" i="4"/>
  <c r="L319" i="4"/>
  <c r="I319" i="4"/>
  <c r="L1298" i="4"/>
  <c r="J1298" i="4"/>
  <c r="I1298" i="4"/>
  <c r="L534" i="4"/>
  <c r="J534" i="4"/>
  <c r="I534" i="4"/>
  <c r="L307" i="4"/>
  <c r="J307" i="4"/>
  <c r="I307" i="4"/>
  <c r="L952" i="4"/>
  <c r="J952" i="4"/>
  <c r="I952" i="4"/>
  <c r="L1196" i="4"/>
  <c r="J1196" i="4"/>
  <c r="I1196" i="4"/>
  <c r="L349" i="4"/>
  <c r="I349" i="4"/>
  <c r="L1273" i="4"/>
  <c r="J1273" i="4"/>
  <c r="I1273" i="4"/>
  <c r="L926" i="4"/>
  <c r="J926" i="4"/>
  <c r="I926" i="4"/>
  <c r="L1295" i="4"/>
  <c r="J1295" i="4"/>
  <c r="I1295" i="4"/>
  <c r="L1022" i="4"/>
  <c r="J1022" i="4"/>
  <c r="I1022" i="4"/>
  <c r="L1475" i="4"/>
  <c r="J1475" i="4"/>
  <c r="I1475" i="4"/>
  <c r="L70" i="4"/>
  <c r="I70" i="4"/>
  <c r="L1560" i="4"/>
  <c r="L1094" i="4"/>
  <c r="J1094" i="4"/>
  <c r="I1094" i="4"/>
  <c r="L60" i="4"/>
  <c r="I60" i="4"/>
  <c r="L1369" i="4"/>
  <c r="I1369" i="4"/>
  <c r="L1594" i="4"/>
  <c r="J1594" i="4"/>
  <c r="I1594" i="4"/>
  <c r="L392" i="4"/>
  <c r="J392" i="4"/>
  <c r="I392" i="4"/>
  <c r="L1671" i="4"/>
  <c r="J1671" i="4"/>
  <c r="I1671" i="4"/>
  <c r="L727" i="4"/>
  <c r="I727" i="4"/>
  <c r="L1099" i="4"/>
  <c r="J1099" i="4"/>
  <c r="I1099" i="4"/>
  <c r="L1395" i="4"/>
  <c r="J1395" i="4"/>
  <c r="I1395" i="4"/>
  <c r="L1576" i="4"/>
  <c r="J1576" i="4"/>
  <c r="I1576" i="4"/>
  <c r="L485" i="4"/>
  <c r="J485" i="4"/>
  <c r="I485" i="4"/>
  <c r="L830" i="4"/>
  <c r="J830" i="4"/>
  <c r="I830" i="4"/>
  <c r="L891" i="4"/>
  <c r="J891" i="4"/>
  <c r="I891" i="4"/>
  <c r="L339" i="4"/>
  <c r="I339" i="4"/>
  <c r="L1665" i="4"/>
  <c r="J1665" i="4"/>
  <c r="I1665" i="4"/>
  <c r="L92" i="4"/>
  <c r="J92" i="4"/>
  <c r="I92" i="4"/>
  <c r="L1212" i="4"/>
  <c r="J1212" i="4"/>
  <c r="I1212" i="4"/>
  <c r="L37" i="4"/>
  <c r="J37" i="4"/>
  <c r="I37" i="4"/>
  <c r="L323" i="4"/>
  <c r="I323" i="4"/>
  <c r="L291" i="4"/>
  <c r="J291" i="4"/>
  <c r="I291" i="4"/>
  <c r="L1385" i="4"/>
  <c r="I1385" i="4"/>
  <c r="L262" i="4"/>
  <c r="I262" i="4"/>
  <c r="L147" i="4"/>
  <c r="I147" i="4"/>
  <c r="L273" i="4"/>
  <c r="J273" i="4"/>
  <c r="I273" i="4"/>
  <c r="L64" i="4"/>
  <c r="I64" i="4"/>
  <c r="L1444" i="4"/>
  <c r="J1444" i="4"/>
  <c r="I1444" i="4"/>
  <c r="L1097" i="4"/>
  <c r="J1097" i="4"/>
  <c r="I1097" i="4"/>
  <c r="L1459" i="4"/>
  <c r="J1459" i="4"/>
  <c r="I1459" i="4"/>
  <c r="L1215" i="4"/>
  <c r="I1215" i="4"/>
  <c r="L126" i="4"/>
  <c r="J126" i="4"/>
  <c r="I126" i="4"/>
  <c r="L932" i="4"/>
  <c r="J932" i="4"/>
  <c r="I932" i="4"/>
  <c r="L1296" i="4"/>
  <c r="I1296" i="4"/>
  <c r="L419" i="4"/>
  <c r="J419" i="4"/>
  <c r="I419" i="4"/>
  <c r="L859" i="4"/>
  <c r="I859" i="4"/>
  <c r="L1568" i="4"/>
  <c r="I1568" i="4"/>
  <c r="L674" i="4"/>
  <c r="J674" i="4"/>
  <c r="I674" i="4"/>
  <c r="L630" i="4"/>
  <c r="J630" i="4"/>
  <c r="I630" i="4"/>
  <c r="L163" i="4"/>
  <c r="J163" i="4"/>
  <c r="I163" i="4"/>
  <c r="L1134" i="4"/>
  <c r="J1134" i="4"/>
  <c r="I1134" i="4"/>
  <c r="L1474" i="4"/>
  <c r="I1474" i="4"/>
  <c r="L1367" i="4"/>
  <c r="I1367" i="4"/>
  <c r="L532" i="4"/>
  <c r="J532" i="4"/>
  <c r="I532" i="4"/>
  <c r="L474" i="4"/>
  <c r="J474" i="4"/>
  <c r="I474" i="4"/>
  <c r="L962" i="4"/>
  <c r="J962" i="4"/>
  <c r="I962" i="4"/>
  <c r="L27" i="4"/>
  <c r="J27" i="4"/>
  <c r="I27" i="4"/>
  <c r="L389" i="4"/>
  <c r="J389" i="4"/>
  <c r="I389" i="4"/>
  <c r="L96" i="4"/>
  <c r="J96" i="4"/>
  <c r="I96" i="4"/>
  <c r="L522" i="4"/>
  <c r="I522" i="4"/>
  <c r="L1152" i="4"/>
  <c r="J1152" i="4"/>
  <c r="I1152" i="4"/>
  <c r="L945" i="4"/>
  <c r="J945" i="4"/>
  <c r="I945" i="4"/>
  <c r="L1713" i="4"/>
  <c r="J1713" i="4"/>
  <c r="I1713" i="4"/>
  <c r="L1052" i="4"/>
  <c r="I1052" i="4"/>
  <c r="L453" i="4"/>
  <c r="J453" i="4"/>
  <c r="I453" i="4"/>
  <c r="L1060" i="4"/>
  <c r="I1060" i="4"/>
  <c r="L371" i="4"/>
  <c r="J371" i="4"/>
  <c r="I371" i="4"/>
  <c r="L958" i="4"/>
  <c r="J958" i="4"/>
  <c r="I958" i="4"/>
  <c r="L683" i="4"/>
  <c r="J683" i="4"/>
  <c r="I683" i="4"/>
  <c r="L91" i="4"/>
  <c r="J91" i="4"/>
  <c r="I91" i="4"/>
  <c r="L304" i="4"/>
  <c r="I304" i="4"/>
  <c r="L1521" i="4"/>
  <c r="J1521" i="4"/>
  <c r="I1521" i="4"/>
  <c r="L410" i="4"/>
  <c r="I410" i="4"/>
  <c r="L315" i="4"/>
  <c r="J315" i="4"/>
  <c r="I315" i="4"/>
  <c r="L513" i="4"/>
  <c r="I513" i="4"/>
  <c r="L561" i="4"/>
  <c r="I561" i="4"/>
  <c r="L638" i="4"/>
  <c r="J638" i="4"/>
  <c r="I638" i="4"/>
  <c r="L1433" i="4"/>
  <c r="J1433" i="4"/>
  <c r="I1433" i="4"/>
  <c r="L1318" i="4"/>
  <c r="J1318" i="4"/>
  <c r="I1318" i="4"/>
  <c r="L58" i="4"/>
  <c r="I58" i="4"/>
  <c r="L1571" i="4"/>
  <c r="J1571" i="4"/>
  <c r="I1571" i="4"/>
  <c r="L43" i="4"/>
  <c r="J43" i="4"/>
  <c r="I43" i="4"/>
  <c r="L787" i="4"/>
  <c r="J787" i="4"/>
  <c r="I787" i="4"/>
  <c r="L1580" i="4"/>
  <c r="J1580" i="4"/>
  <c r="I1580" i="4"/>
  <c r="L661" i="4"/>
  <c r="J661" i="4"/>
  <c r="I661" i="4"/>
  <c r="L875" i="4"/>
  <c r="I875" i="4"/>
  <c r="L1233" i="4"/>
  <c r="I1233" i="4"/>
  <c r="L937" i="4"/>
  <c r="I937" i="4"/>
  <c r="L179" i="4"/>
  <c r="J179" i="4"/>
  <c r="I179" i="4"/>
  <c r="L916" i="4"/>
  <c r="J916" i="4"/>
  <c r="I916" i="4"/>
  <c r="L764" i="4"/>
  <c r="J764" i="4"/>
  <c r="I764" i="4"/>
  <c r="L1139" i="4"/>
  <c r="J1139" i="4"/>
  <c r="I1139" i="4"/>
  <c r="L458" i="4"/>
  <c r="I458" i="4"/>
  <c r="L1161" i="4"/>
  <c r="I1161" i="4"/>
  <c r="L760" i="4"/>
  <c r="I760" i="4"/>
  <c r="L1689" i="4"/>
  <c r="J1689" i="4"/>
  <c r="I1689" i="4"/>
  <c r="L1065" i="4"/>
  <c r="I1065" i="4"/>
  <c r="L1437" i="4"/>
  <c r="I1437" i="4"/>
  <c r="L176" i="4"/>
  <c r="J176" i="4"/>
  <c r="I176" i="4"/>
  <c r="L52" i="4"/>
  <c r="J52" i="4"/>
  <c r="I52" i="4"/>
  <c r="L131" i="4"/>
  <c r="J131" i="4"/>
  <c r="I131" i="4"/>
  <c r="L463" i="4"/>
  <c r="J463" i="4"/>
  <c r="I463" i="4"/>
  <c r="L345" i="4"/>
  <c r="J345" i="4"/>
  <c r="I345" i="4"/>
  <c r="L1599" i="4"/>
  <c r="J1599" i="4"/>
  <c r="I1599" i="4"/>
  <c r="L265" i="4"/>
  <c r="J265" i="4"/>
  <c r="I265" i="4"/>
  <c r="L1217" i="4"/>
  <c r="I1217" i="4"/>
  <c r="L105" i="4"/>
  <c r="I105" i="4"/>
  <c r="L597" i="4"/>
  <c r="J597" i="4"/>
  <c r="I597" i="4"/>
  <c r="L1101" i="4"/>
  <c r="J1101" i="4"/>
  <c r="I1101" i="4"/>
  <c r="L860" i="4"/>
  <c r="J860" i="4"/>
  <c r="I860" i="4"/>
  <c r="L793" i="4"/>
  <c r="I793" i="4"/>
  <c r="L1586" i="4"/>
  <c r="J1586" i="4"/>
  <c r="I1586" i="4"/>
  <c r="L32" i="4"/>
  <c r="I32" i="4"/>
  <c r="L822" i="4"/>
  <c r="J822" i="4"/>
  <c r="I822" i="4"/>
  <c r="L1424" i="4"/>
  <c r="I1424" i="4"/>
  <c r="L74" i="4"/>
  <c r="J74" i="4"/>
  <c r="I74" i="4"/>
  <c r="L1030" i="4"/>
  <c r="J1030" i="4"/>
  <c r="I1030" i="4"/>
  <c r="L335" i="4"/>
  <c r="J335" i="4"/>
  <c r="I335" i="4"/>
  <c r="L841" i="4"/>
  <c r="I841" i="4"/>
  <c r="L456" i="4"/>
  <c r="J456" i="4"/>
  <c r="I456" i="4"/>
  <c r="L1674" i="4"/>
  <c r="I1674" i="4"/>
  <c r="L594" i="4"/>
  <c r="J594" i="4"/>
  <c r="I594" i="4"/>
  <c r="L654" i="4"/>
  <c r="J654" i="4"/>
  <c r="I654" i="4"/>
  <c r="L1168" i="4"/>
  <c r="J1168" i="4"/>
  <c r="I1168" i="4"/>
  <c r="L66" i="4"/>
  <c r="I66" i="4"/>
  <c r="L1405" i="4"/>
  <c r="J1405" i="4"/>
  <c r="I1405" i="4"/>
  <c r="L1313" i="4"/>
  <c r="J1313" i="4"/>
  <c r="I1313" i="4"/>
  <c r="L355" i="4"/>
  <c r="J355" i="4"/>
  <c r="I355" i="4"/>
  <c r="L873" i="4"/>
  <c r="I873" i="4"/>
  <c r="L491" i="4"/>
  <c r="J491" i="4"/>
  <c r="I491" i="4"/>
  <c r="L1144" i="4"/>
  <c r="J1144" i="4"/>
  <c r="I1144" i="4"/>
  <c r="L965" i="4"/>
  <c r="I965" i="4"/>
  <c r="L512" i="4"/>
  <c r="J512" i="4"/>
  <c r="I512" i="4"/>
  <c r="L511" i="4"/>
  <c r="J511" i="4"/>
  <c r="I511" i="4"/>
  <c r="L820" i="4"/>
  <c r="I820" i="4"/>
  <c r="L578" i="4"/>
  <c r="J578" i="4"/>
  <c r="I578" i="4"/>
  <c r="L14" i="4"/>
  <c r="I14" i="4"/>
  <c r="L181" i="4"/>
  <c r="J181" i="4"/>
  <c r="I181" i="4"/>
  <c r="L1027" i="4"/>
  <c r="J1027" i="4"/>
  <c r="I1027" i="4"/>
  <c r="L1199" i="4"/>
  <c r="J1199" i="4"/>
  <c r="I1199" i="4"/>
  <c r="L805" i="4"/>
  <c r="I805" i="4"/>
  <c r="L1725" i="4"/>
  <c r="J1725" i="4"/>
  <c r="I1725" i="4"/>
  <c r="L1255" i="4"/>
  <c r="J1255" i="4"/>
  <c r="I1255" i="4"/>
  <c r="L165" i="4"/>
  <c r="J165" i="4"/>
  <c r="I165" i="4"/>
  <c r="L1354" i="4"/>
  <c r="I1354" i="4"/>
  <c r="L1231" i="4"/>
  <c r="J1231" i="4"/>
  <c r="I1231" i="4"/>
  <c r="L174" i="4"/>
  <c r="I174" i="4"/>
  <c r="L1227" i="4"/>
  <c r="I1227" i="4"/>
  <c r="L906" i="4"/>
  <c r="J906" i="4"/>
  <c r="I906" i="4"/>
  <c r="L272" i="4"/>
  <c r="J272" i="4"/>
  <c r="I272" i="4"/>
  <c r="L1123" i="4"/>
  <c r="I1123" i="4"/>
  <c r="L1293" i="4"/>
  <c r="J1293" i="4"/>
  <c r="I1293" i="4"/>
  <c r="L17" i="4"/>
  <c r="I17" i="4"/>
  <c r="L79" i="4"/>
  <c r="I79" i="4"/>
  <c r="L197" i="4"/>
  <c r="J197" i="4"/>
  <c r="I197" i="4"/>
  <c r="L122" i="4"/>
  <c r="J122" i="4"/>
  <c r="I122" i="4"/>
  <c r="L1068" i="4"/>
  <c r="I1068" i="4"/>
  <c r="L765" i="4"/>
  <c r="I765" i="4"/>
  <c r="L1525" i="4"/>
  <c r="I1525" i="4"/>
  <c r="L1376" i="4"/>
  <c r="J1376" i="4"/>
  <c r="I1376" i="4"/>
  <c r="L1308" i="4"/>
  <c r="J1308" i="4"/>
  <c r="I1308" i="4"/>
  <c r="L382" i="4"/>
  <c r="I382" i="4"/>
  <c r="L447" i="4"/>
  <c r="I447" i="4"/>
  <c r="L1508" i="4"/>
  <c r="J1508" i="4"/>
  <c r="I1508" i="4"/>
  <c r="L831" i="4"/>
  <c r="J831" i="4"/>
  <c r="I831" i="4"/>
  <c r="L1600" i="4"/>
  <c r="J1600" i="4"/>
  <c r="I1600" i="4"/>
  <c r="L612" i="4"/>
  <c r="I612" i="4"/>
  <c r="L482" i="4"/>
  <c r="J482" i="4"/>
  <c r="I482" i="4"/>
  <c r="L543" i="4"/>
  <c r="J543" i="4"/>
  <c r="I543" i="4"/>
  <c r="L1000" i="4"/>
  <c r="J1000" i="4"/>
  <c r="I1000" i="4"/>
  <c r="L1419" i="4"/>
  <c r="J1419" i="4"/>
  <c r="I1419" i="4"/>
  <c r="L1417" i="4"/>
  <c r="J1417" i="4"/>
  <c r="I1417" i="4"/>
  <c r="L1726" i="4"/>
  <c r="I1726" i="4"/>
  <c r="L493" i="4"/>
  <c r="J493" i="4"/>
  <c r="I493" i="4"/>
  <c r="L243" i="4"/>
  <c r="J243" i="4"/>
  <c r="I243" i="4"/>
  <c r="L809" i="4"/>
  <c r="I809" i="4"/>
  <c r="L326" i="4"/>
  <c r="J326" i="4"/>
  <c r="I326" i="4"/>
  <c r="L1439" i="4"/>
  <c r="I1439" i="4"/>
  <c r="L1379" i="4"/>
  <c r="L83" i="4"/>
  <c r="I83" i="4"/>
  <c r="L577" i="4"/>
  <c r="J577" i="4"/>
  <c r="I577" i="4"/>
  <c r="L565" i="4"/>
  <c r="J565" i="4"/>
  <c r="I565" i="4"/>
  <c r="L1300" i="4"/>
  <c r="I1300" i="4"/>
  <c r="L828" i="4"/>
  <c r="I828" i="4"/>
  <c r="L459" i="4"/>
  <c r="J459" i="4"/>
  <c r="I459" i="4"/>
  <c r="L1358" i="4"/>
  <c r="J1358" i="4"/>
  <c r="I1358" i="4"/>
  <c r="L768" i="4"/>
  <c r="I768" i="4"/>
  <c r="L1706" i="4"/>
  <c r="J1706" i="4"/>
  <c r="I1706" i="4"/>
  <c r="L1470" i="4"/>
  <c r="J1470" i="4"/>
  <c r="I1470" i="4"/>
  <c r="L1088" i="4"/>
  <c r="J1088" i="4"/>
  <c r="I1088" i="4"/>
  <c r="L527" i="4"/>
  <c r="I527" i="4"/>
  <c r="L870" i="4"/>
  <c r="J870" i="4"/>
  <c r="I870" i="4"/>
  <c r="L61" i="4"/>
  <c r="J61" i="4"/>
  <c r="I61" i="4"/>
  <c r="L618" i="4"/>
  <c r="L1429" i="4"/>
  <c r="J1429" i="4"/>
  <c r="I1429" i="4"/>
  <c r="L143" i="4"/>
  <c r="J143" i="4"/>
  <c r="I143" i="4"/>
  <c r="L1147" i="4"/>
  <c r="J1147" i="4"/>
  <c r="I1147" i="4"/>
  <c r="L743" i="4"/>
  <c r="J743" i="4"/>
  <c r="I743" i="4"/>
  <c r="L797" i="4"/>
  <c r="J797" i="4"/>
  <c r="I797" i="4"/>
  <c r="L966" i="4"/>
  <c r="J966" i="4"/>
  <c r="I966" i="4"/>
  <c r="L1651" i="4"/>
  <c r="J1651" i="4"/>
  <c r="I1651" i="4"/>
  <c r="L6" i="4"/>
  <c r="J6" i="4"/>
  <c r="I6" i="4"/>
  <c r="L783" i="4"/>
  <c r="J783" i="4"/>
  <c r="I783" i="4"/>
  <c r="L773" i="4"/>
  <c r="I773" i="4"/>
  <c r="L424" i="4"/>
  <c r="J424" i="4"/>
  <c r="I424" i="4"/>
  <c r="L943" i="4"/>
  <c r="J943" i="4"/>
  <c r="I943" i="4"/>
  <c r="L967" i="4"/>
  <c r="J967" i="4"/>
  <c r="I967" i="4"/>
  <c r="L73" i="4"/>
  <c r="I73" i="4"/>
  <c r="L1145" i="4"/>
  <c r="J1145" i="4"/>
  <c r="I1145" i="4"/>
  <c r="L1390" i="4"/>
  <c r="J1390" i="4"/>
  <c r="I1390" i="4"/>
  <c r="L889" i="4"/>
  <c r="J889" i="4"/>
  <c r="I889" i="4"/>
  <c r="L983" i="4"/>
  <c r="I983" i="4"/>
  <c r="L483" i="4"/>
  <c r="I483" i="4"/>
  <c r="L1200" i="4"/>
  <c r="I1200" i="4"/>
  <c r="L750" i="4"/>
  <c r="J750" i="4"/>
  <c r="I750" i="4"/>
  <c r="L1440" i="4"/>
  <c r="I1440" i="4"/>
  <c r="L239" i="4"/>
  <c r="I239" i="4"/>
  <c r="L214" i="4"/>
  <c r="I214" i="4"/>
  <c r="L1505" i="4"/>
  <c r="I1505" i="4"/>
  <c r="L190" i="4"/>
  <c r="J190" i="4"/>
  <c r="I190" i="4"/>
  <c r="L1574" i="4"/>
  <c r="I1574" i="4"/>
  <c r="L465" i="4"/>
  <c r="J465" i="4"/>
  <c r="I465" i="4"/>
  <c r="L202" i="4"/>
  <c r="J202" i="4"/>
  <c r="I202" i="4"/>
  <c r="L281" i="4"/>
  <c r="I281" i="4"/>
  <c r="L136" i="4"/>
  <c r="I136" i="4"/>
  <c r="L1211" i="4"/>
  <c r="I1211" i="4"/>
  <c r="L1244" i="4"/>
  <c r="I1244" i="4"/>
  <c r="L549" i="4"/>
  <c r="J549" i="4"/>
  <c r="I549" i="4"/>
  <c r="L1573" i="4"/>
  <c r="J1573" i="4"/>
  <c r="I1573" i="4"/>
  <c r="L779" i="4"/>
  <c r="I779" i="4"/>
  <c r="L1004" i="4"/>
  <c r="I1004" i="4"/>
  <c r="L1399" i="4"/>
  <c r="J1399" i="4"/>
  <c r="I1399" i="4"/>
  <c r="L770" i="4"/>
  <c r="I770" i="4"/>
  <c r="L268" i="4"/>
  <c r="I268" i="4"/>
  <c r="L1092" i="4"/>
  <c r="J1092" i="4"/>
  <c r="I1092" i="4"/>
  <c r="L599" i="4"/>
  <c r="J599" i="4"/>
  <c r="I599" i="4"/>
  <c r="L141" i="4"/>
  <c r="I141" i="4"/>
  <c r="L1153" i="4"/>
  <c r="J1153" i="4"/>
  <c r="I1153" i="4"/>
  <c r="L1533" i="4"/>
  <c r="J1533" i="4"/>
  <c r="I1533" i="4"/>
  <c r="L881" i="4"/>
  <c r="J881" i="4"/>
  <c r="I881" i="4"/>
  <c r="L1013" i="4"/>
  <c r="J1013" i="4"/>
  <c r="I1013" i="4"/>
  <c r="L914" i="4"/>
  <c r="J914" i="4"/>
  <c r="I914" i="4"/>
  <c r="L1368" i="4"/>
  <c r="I1368" i="4"/>
  <c r="L900" i="4"/>
  <c r="J900" i="4"/>
  <c r="I900" i="4"/>
  <c r="L1466" i="4"/>
  <c r="J1466" i="4"/>
  <c r="I1466" i="4"/>
  <c r="L1317" i="4"/>
  <c r="I1317" i="4"/>
  <c r="L1381" i="4"/>
  <c r="J1381" i="4"/>
  <c r="I1381" i="4"/>
  <c r="L1229" i="4"/>
  <c r="I1229" i="4"/>
  <c r="L585" i="4"/>
  <c r="I585" i="4"/>
  <c r="L362" i="4"/>
  <c r="J362" i="4"/>
  <c r="I362" i="4"/>
  <c r="L622" i="4"/>
  <c r="I622" i="4"/>
  <c r="J518" i="4"/>
  <c r="I518" i="4"/>
  <c r="L1224" i="4"/>
  <c r="J1224" i="4"/>
  <c r="I1224" i="4"/>
  <c r="L1540" i="4"/>
  <c r="I1540" i="4"/>
  <c r="L1090" i="4"/>
  <c r="I1090" i="4"/>
  <c r="L182" i="4"/>
  <c r="I182" i="4"/>
  <c r="L1319" i="4"/>
  <c r="J1319" i="4"/>
  <c r="I1319" i="4"/>
  <c r="L890" i="4"/>
  <c r="J890" i="4"/>
  <c r="I890" i="4"/>
  <c r="L334" i="4"/>
  <c r="I334" i="4"/>
  <c r="L1213" i="4"/>
  <c r="J1213" i="4"/>
  <c r="I1213" i="4"/>
  <c r="L1610" i="4"/>
  <c r="J1610" i="4"/>
  <c r="I1610" i="4"/>
  <c r="L1339" i="4"/>
  <c r="I1339" i="4"/>
  <c r="L427" i="4"/>
  <c r="I427" i="4"/>
  <c r="L1484" i="4"/>
  <c r="J1484" i="4"/>
  <c r="I1484" i="4"/>
  <c r="L569" i="4"/>
  <c r="J569" i="4"/>
  <c r="I569" i="4"/>
  <c r="L1232" i="4"/>
  <c r="I1232" i="4"/>
  <c r="L607" i="4"/>
  <c r="J607" i="4"/>
  <c r="I607" i="4"/>
  <c r="L1017" i="4"/>
  <c r="J1017" i="4"/>
  <c r="I1017" i="4"/>
  <c r="L531" i="4"/>
  <c r="J531" i="4"/>
  <c r="I531" i="4"/>
  <c r="L1007" i="4"/>
  <c r="I1007" i="4"/>
  <c r="L858" i="4"/>
  <c r="I858" i="4"/>
  <c r="L439" i="4"/>
  <c r="J439" i="4"/>
  <c r="I439" i="4"/>
  <c r="L658" i="4"/>
  <c r="J658" i="4"/>
  <c r="I658" i="4"/>
  <c r="L1332" i="4"/>
  <c r="I1332" i="4"/>
  <c r="L267" i="4"/>
  <c r="J267" i="4"/>
  <c r="I267" i="4"/>
  <c r="L154" i="4"/>
  <c r="J154" i="4"/>
  <c r="I154" i="4"/>
  <c r="L119" i="4"/>
  <c r="J119" i="4"/>
  <c r="I119" i="4"/>
  <c r="L650" i="4"/>
  <c r="J650" i="4"/>
  <c r="I650" i="4"/>
  <c r="L466" i="4"/>
  <c r="I466" i="4"/>
  <c r="L446" i="4"/>
  <c r="J446" i="4"/>
  <c r="I446" i="4"/>
  <c r="L289" i="4"/>
  <c r="I289" i="4"/>
  <c r="L904" i="4"/>
  <c r="J904" i="4"/>
  <c r="I904" i="4"/>
  <c r="L246" i="4"/>
  <c r="I246" i="4"/>
  <c r="L799" i="4"/>
  <c r="J799" i="4"/>
  <c r="I799" i="4"/>
  <c r="L308" i="4"/>
  <c r="J308" i="4"/>
  <c r="I308" i="4"/>
  <c r="L1423" i="4"/>
  <c r="J1423" i="4"/>
  <c r="I1423" i="4"/>
  <c r="L1155" i="4"/>
  <c r="J1155" i="4"/>
  <c r="I1155" i="4"/>
  <c r="L269" i="4"/>
  <c r="J269" i="4"/>
  <c r="I269" i="4"/>
  <c r="L694" i="4"/>
  <c r="I694" i="4"/>
  <c r="L1724" i="4"/>
  <c r="J1724" i="4"/>
  <c r="I1724" i="4"/>
  <c r="L1072" i="4"/>
  <c r="J1072" i="4"/>
  <c r="I1072" i="4"/>
  <c r="L337" i="4"/>
  <c r="J337" i="4"/>
  <c r="I337" i="4"/>
  <c r="L987" i="4"/>
  <c r="J987" i="4"/>
  <c r="I987" i="4"/>
  <c r="L250" i="4"/>
  <c r="I250" i="4"/>
  <c r="L596" i="4"/>
  <c r="I596" i="4"/>
  <c r="L825" i="4"/>
  <c r="J825" i="4"/>
  <c r="I825" i="4"/>
  <c r="L1184" i="4"/>
  <c r="I1184" i="4"/>
  <c r="L279" i="4"/>
  <c r="I279" i="4"/>
  <c r="L1126" i="4"/>
  <c r="I1126" i="4"/>
  <c r="L161" i="4"/>
  <c r="I161" i="4"/>
  <c r="L521" i="4"/>
  <c r="J521" i="4"/>
  <c r="I521" i="4"/>
  <c r="L1289" i="4"/>
  <c r="J1289" i="4"/>
  <c r="I1289" i="4"/>
  <c r="L1290" i="4"/>
  <c r="J1290" i="4"/>
  <c r="I1290" i="4"/>
  <c r="L985" i="4"/>
  <c r="I985" i="4"/>
  <c r="L356" i="4"/>
  <c r="J356" i="4"/>
  <c r="I356" i="4"/>
  <c r="L90" i="4"/>
  <c r="I90" i="4"/>
  <c r="L704" i="4"/>
  <c r="I704" i="4"/>
  <c r="L1337" i="4"/>
  <c r="J1337" i="4"/>
  <c r="I1337" i="4"/>
  <c r="L598" i="4"/>
  <c r="J598" i="4"/>
  <c r="I598" i="4"/>
  <c r="L620" i="4"/>
  <c r="J620" i="4"/>
  <c r="I620" i="4"/>
  <c r="L725" i="4"/>
  <c r="J725" i="4"/>
  <c r="I725" i="4"/>
  <c r="L652" i="4"/>
  <c r="I652" i="4"/>
  <c r="L1042" i="4"/>
  <c r="I1042" i="4"/>
  <c r="L524" i="4"/>
  <c r="J524" i="4"/>
  <c r="I524" i="4"/>
  <c r="L1595" i="4"/>
  <c r="J1595" i="4"/>
  <c r="I1595" i="4"/>
  <c r="L1073" i="4"/>
  <c r="J1073" i="4"/>
  <c r="I1073" i="4"/>
  <c r="L1471" i="4"/>
  <c r="I1471" i="4"/>
  <c r="L609" i="4"/>
  <c r="J609" i="4"/>
  <c r="I609" i="4"/>
  <c r="L1469" i="4"/>
  <c r="J1469" i="4"/>
  <c r="I1469" i="4"/>
  <c r="L1452" i="4"/>
  <c r="I1452" i="4"/>
  <c r="L49" i="4"/>
  <c r="J49" i="4"/>
  <c r="I49" i="4"/>
  <c r="L235" i="4"/>
  <c r="I235" i="4"/>
  <c r="L574" i="4"/>
  <c r="I574" i="4"/>
  <c r="L1011" i="4"/>
  <c r="J1011" i="4"/>
  <c r="I1011" i="4"/>
  <c r="L445" i="4"/>
  <c r="J445" i="4"/>
  <c r="I445" i="4"/>
  <c r="L1564" i="4"/>
  <c r="I1564" i="4"/>
  <c r="L1620" i="4"/>
  <c r="J1620" i="4"/>
  <c r="I1620" i="4"/>
  <c r="L1528" i="4"/>
  <c r="J1528" i="4"/>
  <c r="I1528" i="4"/>
  <c r="L1402" i="4"/>
  <c r="I1402" i="4"/>
  <c r="L1643" i="4"/>
  <c r="J1643" i="4"/>
  <c r="I1643" i="4"/>
  <c r="L897" i="4"/>
  <c r="I897" i="4"/>
  <c r="L995" i="4"/>
  <c r="J995" i="4"/>
  <c r="I995" i="4"/>
  <c r="L1285" i="4"/>
  <c r="I1285" i="4"/>
  <c r="L40" i="4"/>
  <c r="J40" i="4"/>
  <c r="I40" i="4"/>
  <c r="L1146" i="4"/>
  <c r="J1146" i="4"/>
  <c r="I1146" i="4"/>
  <c r="L755" i="4"/>
  <c r="J755" i="4"/>
  <c r="I755" i="4"/>
  <c r="L636" i="4"/>
  <c r="J636" i="4"/>
  <c r="I636" i="4"/>
  <c r="L1114" i="4"/>
  <c r="J1114" i="4"/>
  <c r="I1114" i="4"/>
  <c r="L1257" i="4"/>
  <c r="J1257" i="4"/>
  <c r="I1257" i="4"/>
  <c r="L1654" i="4"/>
  <c r="I1654" i="4"/>
  <c r="L990" i="4"/>
  <c r="I990" i="4"/>
  <c r="L1476" i="4"/>
  <c r="J1476" i="4"/>
  <c r="I1476" i="4"/>
  <c r="L921" i="4"/>
  <c r="J921" i="4"/>
  <c r="I921" i="4"/>
  <c r="L1425" i="4"/>
  <c r="J1425" i="4"/>
  <c r="I1425" i="4"/>
  <c r="L1029" i="4"/>
  <c r="I1029" i="4"/>
  <c r="L719" i="4"/>
  <c r="I719" i="4"/>
  <c r="L1015" i="4"/>
  <c r="I1015" i="4"/>
  <c r="L1559" i="4"/>
  <c r="J1559" i="4"/>
  <c r="I1559" i="4"/>
  <c r="L1138" i="4"/>
  <c r="J1138" i="4"/>
  <c r="I1138" i="4"/>
  <c r="L1622" i="4"/>
  <c r="I1622" i="4"/>
  <c r="L329" i="4"/>
  <c r="J329" i="4"/>
  <c r="I329" i="4"/>
  <c r="L580" i="4"/>
  <c r="J580" i="4"/>
  <c r="I580" i="4"/>
  <c r="L1284" i="4"/>
  <c r="J1284" i="4"/>
  <c r="I1284" i="4"/>
  <c r="L366" i="4"/>
  <c r="I366" i="4"/>
  <c r="L1198" i="4"/>
  <c r="I1198" i="4"/>
  <c r="L925" i="4"/>
  <c r="J925" i="4"/>
  <c r="I925" i="4"/>
  <c r="L407" i="4"/>
  <c r="I407" i="4"/>
  <c r="L1259" i="4"/>
  <c r="J1259" i="4"/>
  <c r="I1259" i="4"/>
  <c r="L321" i="4"/>
  <c r="J321" i="4"/>
  <c r="I321" i="4"/>
  <c r="L1183" i="4"/>
  <c r="J1183" i="4"/>
  <c r="I1183" i="4"/>
  <c r="L1563" i="4"/>
  <c r="J1563" i="4"/>
  <c r="I1563" i="4"/>
  <c r="L1382" i="4"/>
  <c r="J1382" i="4"/>
  <c r="I1382" i="4"/>
  <c r="L1098" i="4"/>
  <c r="I1098" i="4"/>
  <c r="L613" i="4"/>
  <c r="J613" i="4"/>
  <c r="I613" i="4"/>
  <c r="L784" i="4"/>
  <c r="I784" i="4"/>
  <c r="L1219" i="4"/>
  <c r="J1219" i="4"/>
  <c r="I1219" i="4"/>
  <c r="L451" i="4"/>
  <c r="J451" i="4"/>
  <c r="I451" i="4"/>
  <c r="L98" i="4"/>
  <c r="I98" i="4"/>
  <c r="L1562" i="4"/>
  <c r="I1562" i="4"/>
  <c r="L1344" i="4"/>
  <c r="J1344" i="4"/>
  <c r="I1344" i="4"/>
  <c r="L338" i="4"/>
  <c r="I338" i="4"/>
  <c r="L1647" i="4"/>
  <c r="I1647" i="4"/>
  <c r="L626" i="4"/>
  <c r="J626" i="4"/>
  <c r="I626" i="4"/>
  <c r="L496" i="4"/>
  <c r="J496" i="4"/>
  <c r="I496" i="4"/>
  <c r="L1166" i="4"/>
  <c r="J1166" i="4"/>
  <c r="I1166" i="4"/>
  <c r="L535" i="4"/>
  <c r="I535" i="4"/>
  <c r="L183" i="4"/>
  <c r="J183" i="4"/>
  <c r="I183" i="4"/>
  <c r="L450" i="4"/>
  <c r="I450" i="4"/>
  <c r="L54" i="4"/>
  <c r="J54" i="4"/>
  <c r="I54" i="4"/>
  <c r="L811" i="4"/>
  <c r="J811" i="4"/>
  <c r="I811" i="4"/>
  <c r="L406" i="4"/>
  <c r="I406" i="4"/>
  <c r="L566" i="4"/>
  <c r="I566" i="4"/>
  <c r="L1361" i="4"/>
  <c r="I1361" i="4"/>
  <c r="L537" i="4"/>
  <c r="I537" i="4"/>
  <c r="L1481" i="4"/>
  <c r="I1481" i="4"/>
  <c r="L218" i="4"/>
  <c r="I218" i="4"/>
  <c r="L632" i="4"/>
  <c r="I632" i="4"/>
  <c r="L1054" i="4"/>
  <c r="J1054" i="4"/>
  <c r="I1054" i="4"/>
  <c r="L314" i="4"/>
  <c r="J314" i="4"/>
  <c r="I314" i="4"/>
  <c r="L714" i="4"/>
  <c r="I714" i="4"/>
  <c r="L295" i="4"/>
  <c r="I295" i="4"/>
  <c r="L487" i="4"/>
  <c r="I487" i="4"/>
  <c r="L854" i="4"/>
  <c r="J854" i="4"/>
  <c r="I854" i="4"/>
  <c r="L709" i="4"/>
  <c r="J709" i="4"/>
  <c r="I709" i="4"/>
  <c r="L1236" i="4"/>
  <c r="J1236" i="4"/>
  <c r="I1236" i="4"/>
  <c r="L677" i="4"/>
  <c r="I677" i="4"/>
  <c r="L159" i="4"/>
  <c r="J159" i="4"/>
  <c r="I159" i="4"/>
  <c r="L1650" i="4"/>
  <c r="I1650" i="4"/>
  <c r="L1331" i="4"/>
  <c r="I1331" i="4"/>
  <c r="L200" i="4"/>
  <c r="J200" i="4"/>
  <c r="I200" i="4"/>
  <c r="L711" i="4"/>
  <c r="J711" i="4"/>
  <c r="I711" i="4"/>
  <c r="L579" i="4"/>
  <c r="J579" i="4"/>
  <c r="I579" i="4"/>
  <c r="L979" i="4"/>
  <c r="I979" i="4"/>
  <c r="L1684" i="4"/>
  <c r="J1684" i="4"/>
  <c r="I1684" i="4"/>
  <c r="L1170" i="4"/>
  <c r="I1170" i="4"/>
  <c r="L310" i="4"/>
  <c r="I310" i="4"/>
  <c r="L696" i="4"/>
  <c r="J696" i="4"/>
  <c r="I696" i="4"/>
  <c r="L927" i="4"/>
  <c r="J927" i="4"/>
  <c r="I927" i="4"/>
  <c r="L1454" i="4"/>
  <c r="J1454" i="4"/>
  <c r="I1454" i="4"/>
  <c r="L301" i="4"/>
  <c r="J301" i="4"/>
  <c r="I301" i="4"/>
  <c r="L80" i="4"/>
  <c r="I80" i="4"/>
  <c r="L1397" i="4"/>
  <c r="J1397" i="4"/>
  <c r="I1397" i="4"/>
  <c r="L130" i="4"/>
  <c r="J130" i="4"/>
  <c r="I130" i="4"/>
  <c r="L706" i="4"/>
  <c r="J706" i="4"/>
  <c r="I706" i="4"/>
  <c r="L104" i="4"/>
  <c r="J104" i="4"/>
  <c r="I104" i="4"/>
  <c r="L372" i="4"/>
  <c r="I372" i="4"/>
  <c r="L701" i="4"/>
  <c r="I701" i="4"/>
  <c r="L283" i="4"/>
  <c r="J283" i="4"/>
  <c r="I283" i="4"/>
  <c r="L475" i="4"/>
  <c r="J475" i="4"/>
  <c r="I475" i="4"/>
  <c r="L919" i="4"/>
  <c r="J919" i="4"/>
  <c r="I919" i="4"/>
  <c r="L137" i="4"/>
  <c r="I137" i="4"/>
  <c r="L1572" i="4"/>
  <c r="J1572" i="4"/>
  <c r="I1572" i="4"/>
  <c r="L800" i="4"/>
  <c r="J800" i="4"/>
  <c r="I800" i="4"/>
  <c r="L370" i="4"/>
  <c r="I370" i="4"/>
  <c r="L821" i="4"/>
  <c r="J821" i="4"/>
  <c r="I821" i="4"/>
  <c r="L748" i="4"/>
  <c r="I748" i="4"/>
  <c r="L1178" i="4"/>
  <c r="I1178" i="4"/>
  <c r="L145" i="4"/>
  <c r="I145" i="4"/>
  <c r="L352" i="4"/>
  <c r="J352" i="4"/>
  <c r="I352" i="4"/>
  <c r="L1467" i="4"/>
  <c r="I1467" i="4"/>
  <c r="L1222" i="4"/>
  <c r="J1222" i="4"/>
  <c r="I1222" i="4"/>
  <c r="L614" i="4"/>
  <c r="J614" i="4"/>
  <c r="I614" i="4"/>
  <c r="L895" i="4"/>
  <c r="I895" i="4"/>
  <c r="L843" i="4"/>
  <c r="I843" i="4"/>
  <c r="L1187" i="4"/>
  <c r="I1187" i="4"/>
  <c r="L1009" i="4"/>
  <c r="I1009" i="4"/>
  <c r="L954" i="4"/>
  <c r="I954" i="4"/>
  <c r="L1712" i="4"/>
  <c r="I1712" i="4"/>
  <c r="L333" i="4"/>
  <c r="J333" i="4"/>
  <c r="I333" i="4"/>
  <c r="L1291" i="4"/>
  <c r="J1291" i="4"/>
  <c r="I1291" i="4"/>
  <c r="L980" i="4"/>
  <c r="I980" i="4"/>
  <c r="L208" i="4"/>
  <c r="J208" i="4"/>
  <c r="I208" i="4"/>
  <c r="L1347" i="4"/>
  <c r="J1347" i="4"/>
  <c r="I1347" i="4"/>
  <c r="L685" i="4"/>
  <c r="I685" i="4"/>
  <c r="L171" i="4"/>
  <c r="I171" i="4"/>
  <c r="L460" i="4"/>
  <c r="I460" i="4"/>
  <c r="L540" i="4"/>
  <c r="J540" i="4"/>
  <c r="I540" i="4"/>
  <c r="L651" i="4"/>
  <c r="J651" i="4"/>
  <c r="I651" i="4"/>
  <c r="L1565" i="4"/>
  <c r="J1565" i="4"/>
  <c r="I1565" i="4"/>
  <c r="L107" i="4"/>
  <c r="J107" i="4"/>
  <c r="I107" i="4"/>
  <c r="L1629" i="4"/>
  <c r="I1629" i="4"/>
</calcChain>
</file>

<file path=xl/sharedStrings.xml><?xml version="1.0" encoding="utf-8"?>
<sst xmlns="http://schemas.openxmlformats.org/spreadsheetml/2006/main" count="22902" uniqueCount="20228">
  <si>
    <t>No</t>
  </si>
  <si>
    <t>Group</t>
  </si>
  <si>
    <t>FileName</t>
  </si>
  <si>
    <t>ND1</t>
  </si>
  <si>
    <t>ND</t>
  </si>
  <si>
    <t>H001-3140904676.gpr</t>
  </si>
  <si>
    <t>ND1_H001</t>
  </si>
  <si>
    <t>ND2</t>
  </si>
  <si>
    <t>H002-3140904677.gpr</t>
  </si>
  <si>
    <t>ND2_H002</t>
  </si>
  <si>
    <t>HD1</t>
  </si>
  <si>
    <t>HD</t>
  </si>
  <si>
    <t>H003-3140904678.gpr</t>
  </si>
  <si>
    <t>HD1_H003</t>
  </si>
  <si>
    <t>HD2</t>
  </si>
  <si>
    <t>H004-3140904680.gpr</t>
  </si>
  <si>
    <t>HD2_H004</t>
  </si>
  <si>
    <t>Normalized_intensity</t>
  </si>
  <si>
    <t>HD / ND</t>
  </si>
  <si>
    <t>Annotation</t>
  </si>
  <si>
    <t>Phalanx_id</t>
  </si>
  <si>
    <t>logFC</t>
  </si>
  <si>
    <t>P.Value</t>
  </si>
  <si>
    <t>Gene_symbol</t>
  </si>
  <si>
    <t>Description</t>
  </si>
  <si>
    <t>Entrez_gene</t>
  </si>
  <si>
    <t>RefSeq</t>
  </si>
  <si>
    <t>Protein_accession.version</t>
  </si>
  <si>
    <t>Ensembl_gene</t>
  </si>
  <si>
    <t>Ensembl_transcript</t>
  </si>
  <si>
    <t>Ensembl_protein</t>
  </si>
  <si>
    <t>PH_hs_0000009</t>
  </si>
  <si>
    <t>PTPN12</t>
  </si>
  <si>
    <t>PH_hs_0000010</t>
  </si>
  <si>
    <t>SDHB</t>
  </si>
  <si>
    <t>NP_002991.2</t>
  </si>
  <si>
    <t>MAP2</t>
  </si>
  <si>
    <t>Homo sapiens microtubule-associated protein 2 (MAP2)</t>
  </si>
  <si>
    <t>NA</t>
  </si>
  <si>
    <t>PH_hs_0000052</t>
  </si>
  <si>
    <t>ATP5G3</t>
  </si>
  <si>
    <t>Homo sapiens hydroxysteroid (17-beta)</t>
  </si>
  <si>
    <t>PH_hs_0000063</t>
  </si>
  <si>
    <t>WWOX</t>
  </si>
  <si>
    <t>Homo sapiens WW domain containing oxidoreductase (WWOX)</t>
  </si>
  <si>
    <t>NP_057457.1</t>
  </si>
  <si>
    <t>Homo sapiens chemokine (C-X-C motif)</t>
  </si>
  <si>
    <t>PH_hs_0000076</t>
  </si>
  <si>
    <t>IL12A</t>
  </si>
  <si>
    <t>Homo sapiens interleukin 12A (IL12A)</t>
  </si>
  <si>
    <t>NP_000873.2</t>
  </si>
  <si>
    <t>PH_hs_0000078</t>
  </si>
  <si>
    <t>EPCAM</t>
  </si>
  <si>
    <t>Homo sapiens epithelial cell adhesion molecule (EPCAM)</t>
  </si>
  <si>
    <t>NP_002345.2</t>
  </si>
  <si>
    <t>PH_hs_0000080</t>
  </si>
  <si>
    <t>CSTB</t>
  </si>
  <si>
    <t>Homo sapiens cystatin B (stefin B)</t>
  </si>
  <si>
    <t>NP_000091.1</t>
  </si>
  <si>
    <t>ENSP00000291568</t>
  </si>
  <si>
    <t>PH_hs_0000093</t>
  </si>
  <si>
    <t>TRIM23</t>
  </si>
  <si>
    <t>Homo sapiens tripartite motif containing 23 (TRIM23)</t>
  </si>
  <si>
    <t>NP_001647.1</t>
  </si>
  <si>
    <t>PH_hs_0000100</t>
  </si>
  <si>
    <t>IDO1</t>
  </si>
  <si>
    <t>NP_002155.1</t>
  </si>
  <si>
    <t>PH_hs_0000106</t>
  </si>
  <si>
    <t>MAPK3</t>
  </si>
  <si>
    <t>Homo sapiens mitogen-activated protein kinase 3 (MAPK3)</t>
  </si>
  <si>
    <t>PH_hs_0000107</t>
  </si>
  <si>
    <t>CLC</t>
  </si>
  <si>
    <t>Homo sapiens Charcot-Leyden crystal galectin (CLC)</t>
  </si>
  <si>
    <t>NP_001819.2</t>
  </si>
  <si>
    <t>ENST00000221804</t>
  </si>
  <si>
    <t>ENSP00000221804</t>
  </si>
  <si>
    <t>PH_hs_0000112</t>
  </si>
  <si>
    <t>AGL</t>
  </si>
  <si>
    <t>PH_hs_0000116</t>
  </si>
  <si>
    <t>CRYM</t>
  </si>
  <si>
    <t>NP_001879.1</t>
  </si>
  <si>
    <t>PH_hs_0000118</t>
  </si>
  <si>
    <t>MYBPH</t>
  </si>
  <si>
    <t>Homo sapiens myosin binding protein H (MYBPH)</t>
  </si>
  <si>
    <t>NP_004988.2</t>
  </si>
  <si>
    <t>Homo sapiens pyruvate dehydrogenase (lipoamide)</t>
  </si>
  <si>
    <t>KITLG</t>
  </si>
  <si>
    <t>Homo sapiens KIT ligand (KITLG)</t>
  </si>
  <si>
    <t>PH_hs_0000140</t>
  </si>
  <si>
    <t>SFTPC</t>
  </si>
  <si>
    <t>Homo sapiens surfactant protein C (SFTPC)</t>
  </si>
  <si>
    <t>PH_hs_0000143</t>
  </si>
  <si>
    <t>DNAJC10</t>
  </si>
  <si>
    <t>Homo sapiens DnaJ (Hsp40)</t>
  </si>
  <si>
    <t>Homo sapiens TATA box binding protein (TBP)</t>
  </si>
  <si>
    <t>PH_hs_0000152</t>
  </si>
  <si>
    <t>HLA-DMB</t>
  </si>
  <si>
    <t>NP_002109.2</t>
  </si>
  <si>
    <t>PH_hs_0000155</t>
  </si>
  <si>
    <t>TAF1</t>
  </si>
  <si>
    <t>PH_hs_0000157</t>
  </si>
  <si>
    <t>PPWD1</t>
  </si>
  <si>
    <t>Homo sapiens peptidylprolyl isomerase domain and WD repeat containing 1 (PPWD1)</t>
  </si>
  <si>
    <t>NP_056157.1</t>
  </si>
  <si>
    <t>Homo sapiens polymerase (RNA)</t>
  </si>
  <si>
    <t>PH_hs_0000196</t>
  </si>
  <si>
    <t>GIP</t>
  </si>
  <si>
    <t>Homo sapiens gastric inhibitory polypeptide (GIP)</t>
  </si>
  <si>
    <t>NP_004114.1</t>
  </si>
  <si>
    <t>ENST00000357424</t>
  </si>
  <si>
    <t>ENSP00000350005</t>
  </si>
  <si>
    <t>PH_hs_0000201</t>
  </si>
  <si>
    <t>SDC2</t>
  </si>
  <si>
    <t>Homo sapiens syndecan 2 (SDC2)</t>
  </si>
  <si>
    <t>NP_002989.2</t>
  </si>
  <si>
    <t>PH_hs_0000205</t>
  </si>
  <si>
    <t>THOC1</t>
  </si>
  <si>
    <t>Homo sapiens THO complex 1 (THOC1)</t>
  </si>
  <si>
    <t>NP_005122.2</t>
  </si>
  <si>
    <t>PH_hs_0000208</t>
  </si>
  <si>
    <t>DCLRE1A</t>
  </si>
  <si>
    <t>Homo sapiens DNA cross-link repair 1A (DCLRE1A)</t>
  </si>
  <si>
    <t>PH_hs_0000210</t>
  </si>
  <si>
    <t>LHX2</t>
  </si>
  <si>
    <t>Homo sapiens LIM homeobox 2 (LHX2)</t>
  </si>
  <si>
    <t>NP_004780.3</t>
  </si>
  <si>
    <t>BIRC5</t>
  </si>
  <si>
    <t>Homo sapiens baculoviral IAP repeat containing 5 (BIRC5)</t>
  </si>
  <si>
    <t>PH_hs_0000218</t>
  </si>
  <si>
    <t>DPYD</t>
  </si>
  <si>
    <t>Homo sapiens dihydropyrimidine dehydrogenase (DPYD)</t>
  </si>
  <si>
    <t>NP_000101.2</t>
  </si>
  <si>
    <t>PH_hs_0000219</t>
  </si>
  <si>
    <t>RPA3</t>
  </si>
  <si>
    <t>NP_002938.1</t>
  </si>
  <si>
    <t>Homo sapiens solute carrier family 26 (anion exchanger)</t>
  </si>
  <si>
    <t>Homo sapiens chemokine (C-C motif)</t>
  </si>
  <si>
    <t>PH_hs_0000238</t>
  </si>
  <si>
    <t>IQGAP1</t>
  </si>
  <si>
    <t>Homo sapiens IQ motif containing GTPase activating protein 1 (IQGAP1)</t>
  </si>
  <si>
    <t>NP_003861.1</t>
  </si>
  <si>
    <t>PH_hs_0000265</t>
  </si>
  <si>
    <t>SRY</t>
  </si>
  <si>
    <t>Homo sapiens sex determining region Y (SRY)</t>
  </si>
  <si>
    <t>NP_003131.1</t>
  </si>
  <si>
    <t>ENST00000383070</t>
  </si>
  <si>
    <t>ENSP00000372547</t>
  </si>
  <si>
    <t>Homo sapiens solute carrier family 25 (mitochondrial carrier; adenine nucleotide translocator)</t>
  </si>
  <si>
    <t>PH_hs_0000279</t>
  </si>
  <si>
    <t>PTGER2</t>
  </si>
  <si>
    <t>Homo sapiens prostaglandin E receptor 2 (subtype EP2)</t>
  </si>
  <si>
    <t>NP_000947.2</t>
  </si>
  <si>
    <t>CNBP</t>
  </si>
  <si>
    <t>PH_hs_0000292</t>
  </si>
  <si>
    <t>ZNHIT3</t>
  </si>
  <si>
    <t>NP_004764.1</t>
  </si>
  <si>
    <t>PH_hs_0000293</t>
  </si>
  <si>
    <t>CEBPG</t>
  </si>
  <si>
    <t>Homo sapiens CCAAT/enhancer binding protein (C/EBP)</t>
  </si>
  <si>
    <t>PH_hs_0000296</t>
  </si>
  <si>
    <t>NEK3</t>
  </si>
  <si>
    <t>Homo sapiens NIMA-related kinase 3 (NEK3)</t>
  </si>
  <si>
    <t>PH_hs_0000305</t>
  </si>
  <si>
    <t>MMP10</t>
  </si>
  <si>
    <t>Homo sapiens matrix metallopeptidase 10 (MMP10)</t>
  </si>
  <si>
    <t>NP_002416.1</t>
  </si>
  <si>
    <t>PH_hs_0000307</t>
  </si>
  <si>
    <t>SCG5</t>
  </si>
  <si>
    <t>Homo sapiens secretogranin V (SCG5)</t>
  </si>
  <si>
    <t>CHRNB2</t>
  </si>
  <si>
    <t>NP_000739.1</t>
  </si>
  <si>
    <t>ENST00000368476</t>
  </si>
  <si>
    <t>ENSP00000357461</t>
  </si>
  <si>
    <t>PH_hs_0000321</t>
  </si>
  <si>
    <t>SHROOM2</t>
  </si>
  <si>
    <t>Homo sapiens shroom family member 2 (SHROOM2)</t>
  </si>
  <si>
    <t>NP_001640.1</t>
  </si>
  <si>
    <t>PH_hs_0000334</t>
  </si>
  <si>
    <t>CASP1</t>
  </si>
  <si>
    <t>GSPT1</t>
  </si>
  <si>
    <t>Homo sapiens G1 to S phase transition 1 (GSPT1)</t>
  </si>
  <si>
    <t>PH_hs_0000363</t>
  </si>
  <si>
    <t>OPRL1</t>
  </si>
  <si>
    <t>Homo sapiens opiate receptor-like 1 (OPRL1)</t>
  </si>
  <si>
    <t>SP4</t>
  </si>
  <si>
    <t>Homo sapiens Sp4 transcription factor (SP4)</t>
  </si>
  <si>
    <t>NP_003103.2</t>
  </si>
  <si>
    <t>PH_hs_0000380</t>
  </si>
  <si>
    <t>TNP1</t>
  </si>
  <si>
    <t>Homo sapiens transition protein 1 (during histone to protamine replacement)</t>
  </si>
  <si>
    <t>NP_003275.1</t>
  </si>
  <si>
    <t>ENST00000236979</t>
  </si>
  <si>
    <t>ENSP00000236979</t>
  </si>
  <si>
    <t>PH_hs_0000382</t>
  </si>
  <si>
    <t>CCNO</t>
  </si>
  <si>
    <t>Homo sapiens cyclin O (CCNO)</t>
  </si>
  <si>
    <t>NP_066970.3</t>
  </si>
  <si>
    <t>PH_hs_0000384</t>
  </si>
  <si>
    <t>COPB1</t>
  </si>
  <si>
    <t>-</t>
  </si>
  <si>
    <t>PH_hs_0000403</t>
  </si>
  <si>
    <t>CASK</t>
  </si>
  <si>
    <t>Homo sapiens calcium/calmodulin-dependent serine protein kinase (MAGUK family)</t>
  </si>
  <si>
    <t>PH_hs_0000414</t>
  </si>
  <si>
    <t>TMEM98</t>
  </si>
  <si>
    <t>Homo sapiens transmembrane protein 98 (TMEM98)</t>
  </si>
  <si>
    <t>PH_hs_0000417</t>
  </si>
  <si>
    <t>LSM10</t>
  </si>
  <si>
    <t>NP_116270.1</t>
  </si>
  <si>
    <t>ENSP00000319341</t>
  </si>
  <si>
    <t>PH_hs_0000418</t>
  </si>
  <si>
    <t>SRSF10</t>
  </si>
  <si>
    <t>Homo sapiens serine/arginine-rich splicing factor 10 (SRSF10)</t>
  </si>
  <si>
    <t>PH_hs_0000420</t>
  </si>
  <si>
    <t>C2orf47</t>
  </si>
  <si>
    <t>Homo sapiens chromosome 2 open reading frame 47 (C2orf47)</t>
  </si>
  <si>
    <t>NP_078796.2</t>
  </si>
  <si>
    <t>PH_hs_0000421</t>
  </si>
  <si>
    <t>LPGAT1</t>
  </si>
  <si>
    <t>Homo sapiens lysophosphatidylglycerol acyltransferase 1 (LPGAT1)</t>
  </si>
  <si>
    <t>NP_055688.1</t>
  </si>
  <si>
    <t>PH_hs_0000423</t>
  </si>
  <si>
    <t>IGBP1</t>
  </si>
  <si>
    <t>Homo sapiens immunoglobulin (CD79A)</t>
  </si>
  <si>
    <t>NP_001542.1</t>
  </si>
  <si>
    <t>PH_hs_0000430</t>
  </si>
  <si>
    <t>NBEA</t>
  </si>
  <si>
    <t>Homo sapiens neurobeachin (NBEA)</t>
  </si>
  <si>
    <t>PH_hs_0000433</t>
  </si>
  <si>
    <t>LMO4</t>
  </si>
  <si>
    <t>Homo sapiens LIM domain only 4 (LMO4)</t>
  </si>
  <si>
    <t>NP_006760.1</t>
  </si>
  <si>
    <t>PH_hs_0000439</t>
  </si>
  <si>
    <t>SLMO2</t>
  </si>
  <si>
    <t>Homo sapiens slowmo homolog 2 (Drosophila)</t>
  </si>
  <si>
    <t>PH_hs_0000444</t>
  </si>
  <si>
    <t>ZDHHC17</t>
  </si>
  <si>
    <t>NP_056151.2</t>
  </si>
  <si>
    <t>PH_hs_0000446</t>
  </si>
  <si>
    <t>KLF6</t>
  </si>
  <si>
    <t>Homo sapiens Kruppel-like factor 6 (KLF6)</t>
  </si>
  <si>
    <t>PH_hs_0000470</t>
  </si>
  <si>
    <t>CCDC86</t>
  </si>
  <si>
    <t>Homo sapiens coiled-coil domain containing 86 (CCDC86)</t>
  </si>
  <si>
    <t>NP_077003.1</t>
  </si>
  <si>
    <t>PH_hs_0000477</t>
  </si>
  <si>
    <t>NIPAL4</t>
  </si>
  <si>
    <t>Homo sapiens NIPA-like domain containing 4 (NIPAL4)</t>
  </si>
  <si>
    <t>Homo sapiens amyloid beta (A4)</t>
  </si>
  <si>
    <t>PH_hs_0000519</t>
  </si>
  <si>
    <t>CPD</t>
  </si>
  <si>
    <t>Homo sapiens carboxypeptidase D (CPD)</t>
  </si>
  <si>
    <t>PH_hs_0000521</t>
  </si>
  <si>
    <t>ICE1</t>
  </si>
  <si>
    <t>Homo sapiens interactor of little elongation complex ELL subunit 1 (ICE1)</t>
  </si>
  <si>
    <t>NP_056140.1</t>
  </si>
  <si>
    <t>PH_hs_0000525</t>
  </si>
  <si>
    <t>ZNHIT6</t>
  </si>
  <si>
    <t>PH_hs_0000528</t>
  </si>
  <si>
    <t>NUP37</t>
  </si>
  <si>
    <t>Homo sapiens nucleoporin 37kDa (NUP37)</t>
  </si>
  <si>
    <t>NP_076962.2</t>
  </si>
  <si>
    <t>PH_hs_0000529</t>
  </si>
  <si>
    <t>PSMG1</t>
  </si>
  <si>
    <t>PH_hs_0000530</t>
  </si>
  <si>
    <t>UBE2T</t>
  </si>
  <si>
    <t>Homo sapiens ubiquitin-conjugating enzyme E2T (UBE2T)</t>
  </si>
  <si>
    <t>NP_054895.1</t>
  </si>
  <si>
    <t>ENSP00000356243</t>
  </si>
  <si>
    <t>GMFG</t>
  </si>
  <si>
    <t>NP_004868.1</t>
  </si>
  <si>
    <t>PH_hs_0000532</t>
  </si>
  <si>
    <t>SMUG1</t>
  </si>
  <si>
    <t>Homo sapiens single-strand-selective monofunctional uracil-DNA glycosylase 1 (SMUG1)</t>
  </si>
  <si>
    <t>EIF6</t>
  </si>
  <si>
    <t>Homo sapiens eukaryotic translation initiation factor 6 (EIF6)</t>
  </si>
  <si>
    <t>PH_hs_0000544</t>
  </si>
  <si>
    <t>7-Mar</t>
  </si>
  <si>
    <t>Homo sapiens membrane-associated ring finger (C3HC4)</t>
  </si>
  <si>
    <t>NP_073737.1</t>
  </si>
  <si>
    <t>Homo sapiens kelch repeat and BTB (POZ)</t>
  </si>
  <si>
    <t>FAN1</t>
  </si>
  <si>
    <t>Homo sapiens FANCD2/FANCI-associated nuclease 1 (FAN1)</t>
  </si>
  <si>
    <t>Homo sapiens solute carrier family 25 (mitochondrial carrier; phosphate carrier)</t>
  </si>
  <si>
    <t>PH_hs_0000572</t>
  </si>
  <si>
    <t>NDUFAB1</t>
  </si>
  <si>
    <t>Homo sapiens NADH dehydrogenase (ubiquinone)</t>
  </si>
  <si>
    <t>NP_004994.1</t>
  </si>
  <si>
    <t>Homo sapiens guanine nucleotide binding protein (G protein)</t>
  </si>
  <si>
    <t>Homo sapiens DEAH (Asp-Glu-Ala-His)</t>
  </si>
  <si>
    <t>PH_hs_0000580</t>
  </si>
  <si>
    <t>KRCC1</t>
  </si>
  <si>
    <t>Homo sapiens lysine-rich coiled-coil 1 (KRCC1)</t>
  </si>
  <si>
    <t>NP_057702.1</t>
  </si>
  <si>
    <t>ENST00000347055</t>
  </si>
  <si>
    <t>ENSP00000340083</t>
  </si>
  <si>
    <t>PH_hs_0000582</t>
  </si>
  <si>
    <t>MGEA5</t>
  </si>
  <si>
    <t>Homo sapiens meningioma expressed antigen 5 (hyaluronidase)</t>
  </si>
  <si>
    <t>IMPA2</t>
  </si>
  <si>
    <t>Homo sapiens inositol(myo)</t>
  </si>
  <si>
    <t>NP_055029.1</t>
  </si>
  <si>
    <t>PH_hs_0000593</t>
  </si>
  <si>
    <t>ZNF25</t>
  </si>
  <si>
    <t>Homo sapiens zinc finger protein 25 (ZNF25)</t>
  </si>
  <si>
    <t>NP_659448.1</t>
  </si>
  <si>
    <t>ENSP00000302222</t>
  </si>
  <si>
    <t>PH_hs_0000594</t>
  </si>
  <si>
    <t>SACM1L</t>
  </si>
  <si>
    <t>Homo sapiens SAC1 suppressor of actin mutations 1-like (yeast)</t>
  </si>
  <si>
    <t>NP_054735.3</t>
  </si>
  <si>
    <t>PH_hs_0000595</t>
  </si>
  <si>
    <t>ELL</t>
  </si>
  <si>
    <t>Homo sapiens elongation factor RNA polymerase II (ELL)</t>
  </si>
  <si>
    <t>NP_006523.1</t>
  </si>
  <si>
    <t>PH_hs_0000607</t>
  </si>
  <si>
    <t>EOGT</t>
  </si>
  <si>
    <t>Homo sapiens EGF domain-specific O-linked N-acetylglucosamine (GlcNAc)</t>
  </si>
  <si>
    <t>NP_775925.1</t>
  </si>
  <si>
    <t>Homo sapiens Rho guanine nucleotide exchange factor (GEF)</t>
  </si>
  <si>
    <t>PH_hs_0000645</t>
  </si>
  <si>
    <t>CAB39</t>
  </si>
  <si>
    <t>Homo sapiens calcium binding protein 39 (CAB39)</t>
  </si>
  <si>
    <t>PH_hs_0000663</t>
  </si>
  <si>
    <t>MAP4K4</t>
  </si>
  <si>
    <t>Homo sapiens mitogen-activated protein kinase kinase kinase kinase 4 (MAP4K4)</t>
  </si>
  <si>
    <t>PH_hs_0000672</t>
  </si>
  <si>
    <t>HECA</t>
  </si>
  <si>
    <t>Homo sapiens headcase homolog (Drosophila)</t>
  </si>
  <si>
    <t>NP_057301.1</t>
  </si>
  <si>
    <t>ENST00000367658</t>
  </si>
  <si>
    <t>ENSP00000356630</t>
  </si>
  <si>
    <t>PH_hs_0000684</t>
  </si>
  <si>
    <t>DNAJB9</t>
  </si>
  <si>
    <t>NP_036460.1</t>
  </si>
  <si>
    <t>ENSP00000249356</t>
  </si>
  <si>
    <t>PH_hs_0000685</t>
  </si>
  <si>
    <t>PAFAH1B3</t>
  </si>
  <si>
    <t>Homo sapiens neuropilin (NRP)</t>
  </si>
  <si>
    <t>PH_hs_0000692</t>
  </si>
  <si>
    <t>ACBD3</t>
  </si>
  <si>
    <t>Homo sapiens acyl-CoA binding domain containing 3 (ACBD3)</t>
  </si>
  <si>
    <t>NP_073572.2</t>
  </si>
  <si>
    <t>ENSP00000355777</t>
  </si>
  <si>
    <t>PH_hs_0000693</t>
  </si>
  <si>
    <t>FNBP4</t>
  </si>
  <si>
    <t>Homo sapiens formin binding protein 4 (FNBP4)</t>
  </si>
  <si>
    <t>NP_056123.2</t>
  </si>
  <si>
    <t>PH_hs_0000694</t>
  </si>
  <si>
    <t>RND3</t>
  </si>
  <si>
    <t>Homo sapiens Rho family GTPase 3 (RND3)</t>
  </si>
  <si>
    <t>Homo sapiens C-x(9)</t>
  </si>
  <si>
    <t>Homo sapiens nudix (nucleoside diphosphate linked moiety X)</t>
  </si>
  <si>
    <t>PH_hs_0000708</t>
  </si>
  <si>
    <t>FBXO45</t>
  </si>
  <si>
    <t>Homo sapiens F-box protein 45 (FBXO45)</t>
  </si>
  <si>
    <t>NP_001099043.1</t>
  </si>
  <si>
    <t>Homo sapiens family with sequence similarity 19 (chemokine (C-C motif)</t>
  </si>
  <si>
    <t>DNAL1</t>
  </si>
  <si>
    <t>INSIG2</t>
  </si>
  <si>
    <t>Homo sapiens insulin induced gene 2 (INSIG2)</t>
  </si>
  <si>
    <t>NP_057217.2</t>
  </si>
  <si>
    <t>Homo sapiens cytidine monophosphate (UMP-CMP)</t>
  </si>
  <si>
    <t>PH_hs_0000746</t>
  </si>
  <si>
    <t>USP24</t>
  </si>
  <si>
    <t>Homo sapiens ubiquitin specific peptidase 24 (USP24)</t>
  </si>
  <si>
    <t>NP_056121.2</t>
  </si>
  <si>
    <t>ENSP00000294383</t>
  </si>
  <si>
    <t>PH_hs_0000757</t>
  </si>
  <si>
    <t>CLDN1</t>
  </si>
  <si>
    <t>Homo sapiens claudin 1 (CLDN1)</t>
  </si>
  <si>
    <t>NP_066924.1</t>
  </si>
  <si>
    <t>ENSP00000295522</t>
  </si>
  <si>
    <t>PH_hs_0000758</t>
  </si>
  <si>
    <t>TMEM19</t>
  </si>
  <si>
    <t>Homo sapiens transmembrane protein 19 (TMEM19)</t>
  </si>
  <si>
    <t>NP_060749.2</t>
  </si>
  <si>
    <t>PH_hs_0000764</t>
  </si>
  <si>
    <t>BTBD6</t>
  </si>
  <si>
    <t>Homo sapiens BTB (POZ)</t>
  </si>
  <si>
    <t>NP_150374.2</t>
  </si>
  <si>
    <t>PH_hs_0000782</t>
  </si>
  <si>
    <t>FKBP5</t>
  </si>
  <si>
    <t>Homo sapiens FK506 binding protein 5 (FKBP5)</t>
  </si>
  <si>
    <t>PH_hs_0000788</t>
  </si>
  <si>
    <t>FES</t>
  </si>
  <si>
    <t>PH_hs_0000789</t>
  </si>
  <si>
    <t>HIST1H1C</t>
  </si>
  <si>
    <t>NP_005310.1</t>
  </si>
  <si>
    <t>ENST00000343677</t>
  </si>
  <si>
    <t>ENSP00000339566</t>
  </si>
  <si>
    <t>PH_hs_0000790</t>
  </si>
  <si>
    <t>MFSD3</t>
  </si>
  <si>
    <t>Homo sapiens major facilitator superfamily domain containing 3 (MFSD3)</t>
  </si>
  <si>
    <t>NP_612440.1</t>
  </si>
  <si>
    <t>ENSP00000301327</t>
  </si>
  <si>
    <t>PH_hs_0000794</t>
  </si>
  <si>
    <t>MRPL27</t>
  </si>
  <si>
    <t>Homo sapiens mitochondrial ribosomal protein L27 (MRPL27)</t>
  </si>
  <si>
    <t>NP_057588.1</t>
  </si>
  <si>
    <t>OSBP2</t>
  </si>
  <si>
    <t>Homo sapiens oxysterol binding protein 2 (OSBP2)</t>
  </si>
  <si>
    <t>NP_110385.1</t>
  </si>
  <si>
    <t>PH_hs_0000806</t>
  </si>
  <si>
    <t>MRC2</t>
  </si>
  <si>
    <t>NP_006030.2</t>
  </si>
  <si>
    <t>Homo sapiens solute carrier family 39 (zinc transporter)</t>
  </si>
  <si>
    <t>PH_hs_0000813</t>
  </si>
  <si>
    <t>PELI1</t>
  </si>
  <si>
    <t>Homo sapiens pellino E3 ubiquitin protein ligase 1 (PELI1)</t>
  </si>
  <si>
    <t>NP_065702.2</t>
  </si>
  <si>
    <t>ENSP00000351789</t>
  </si>
  <si>
    <t>RYBP</t>
  </si>
  <si>
    <t>Homo sapiens RING1 and YY1 binding protein (RYBP)</t>
  </si>
  <si>
    <t>NP_036366.3</t>
  </si>
  <si>
    <t>ENST00000477973</t>
  </si>
  <si>
    <t>ENSP00000419494</t>
  </si>
  <si>
    <t>PH_hs_0000824</t>
  </si>
  <si>
    <t>AFTPH</t>
  </si>
  <si>
    <t>Homo sapiens aftiphilin (AFTPH)</t>
  </si>
  <si>
    <t>USP46</t>
  </si>
  <si>
    <t>Homo sapiens ubiquitin specific peptidase 46 (USP46)</t>
  </si>
  <si>
    <t>RUFY3</t>
  </si>
  <si>
    <t>Homo sapiens RUN and FYVE domain containing 3 (RUFY3)</t>
  </si>
  <si>
    <t>PH_hs_0000845</t>
  </si>
  <si>
    <t>VSTM2L</t>
  </si>
  <si>
    <t>Homo sapiens V-set and transmembrane domain containing 2 like (VSTM2L)</t>
  </si>
  <si>
    <t>NP_542174.1</t>
  </si>
  <si>
    <t>PH_hs_0000847</t>
  </si>
  <si>
    <t>KALRN</t>
  </si>
  <si>
    <t>NP_003938.1</t>
  </si>
  <si>
    <t>PH_hs_0000851</t>
  </si>
  <si>
    <t>ANGPTL2</t>
  </si>
  <si>
    <t>Homo sapiens angiopoietin-like 2 (ANGPTL2)</t>
  </si>
  <si>
    <t>NP_036230.1</t>
  </si>
  <si>
    <t>PH_hs_0000866</t>
  </si>
  <si>
    <t>OMA1</t>
  </si>
  <si>
    <t>Homo sapiens OMA1 zinc metallopeptidase (OMA1)</t>
  </si>
  <si>
    <t>NP_660286.1</t>
  </si>
  <si>
    <t>PH_hs_0000878</t>
  </si>
  <si>
    <t>TM9SF3</t>
  </si>
  <si>
    <t>Homo sapiens transmembrane 9 superfamily member 3 (TM9SF3)</t>
  </si>
  <si>
    <t>NP_064508.3</t>
  </si>
  <si>
    <t>PH_hs_0000879</t>
  </si>
  <si>
    <t>CCDC47</t>
  </si>
  <si>
    <t>Homo sapiens coiled-coil domain containing 47 (CCDC47)</t>
  </si>
  <si>
    <t>NP_064583.2</t>
  </si>
  <si>
    <t>Homo sapiens Rap guanine nucleotide exchange factor (GEF)</t>
  </si>
  <si>
    <t>Homo sapiens poly (ADP-ribose)</t>
  </si>
  <si>
    <t>PH_hs_0000915</t>
  </si>
  <si>
    <t>DLC1</t>
  </si>
  <si>
    <t>Homo sapiens DLC1 Rho GTPase activating protein (DLC1)</t>
  </si>
  <si>
    <t>FBLIM1</t>
  </si>
  <si>
    <t>Homo sapiens filamin binding LIM protein 1 (FBLIM1)</t>
  </si>
  <si>
    <t>PH_hs_0000927</t>
  </si>
  <si>
    <t>DDX42</t>
  </si>
  <si>
    <t>Homo sapiens DEAD (Asp-Glu-Ala-Asp)</t>
  </si>
  <si>
    <t>PH_hs_0000928</t>
  </si>
  <si>
    <t>TMEM47</t>
  </si>
  <si>
    <t>Homo sapiens transmembrane protein 47 (TMEM47)</t>
  </si>
  <si>
    <t>NP_113630.1</t>
  </si>
  <si>
    <t>ENST00000275954</t>
  </si>
  <si>
    <t>ENSP00000275954</t>
  </si>
  <si>
    <t>PH_hs_0000936</t>
  </si>
  <si>
    <t>NAGS</t>
  </si>
  <si>
    <t>Homo sapiens N-acetylglutamate synthase (NAGS)</t>
  </si>
  <si>
    <t>NP_694551.1</t>
  </si>
  <si>
    <t>PH_hs_0000956</t>
  </si>
  <si>
    <t>LBHD1</t>
  </si>
  <si>
    <t>Homo sapiens LBH domain containing 1 (LBHD1)</t>
  </si>
  <si>
    <t>NP_077004.2</t>
  </si>
  <si>
    <t>PH_hs_0000964</t>
  </si>
  <si>
    <t>UBAC1</t>
  </si>
  <si>
    <t>Homo sapiens UBA domain containing 1 (UBAC1)</t>
  </si>
  <si>
    <t>NP_057256.2</t>
  </si>
  <si>
    <t>ENSP00000360821</t>
  </si>
  <si>
    <t>PH_hs_0000977</t>
  </si>
  <si>
    <t>DHX36</t>
  </si>
  <si>
    <t>PH_hs_0000980</t>
  </si>
  <si>
    <t>TOM1</t>
  </si>
  <si>
    <t>Homo sapiens target of myb1 (chicken)</t>
  </si>
  <si>
    <t>ZMYM3</t>
  </si>
  <si>
    <t>PH_hs_0000987</t>
  </si>
  <si>
    <t>PEAK1</t>
  </si>
  <si>
    <t>Homo sapiens pseudopodium-enriched atypical kinase 1 (PEAK1)</t>
  </si>
  <si>
    <t>NP_079052.2</t>
  </si>
  <si>
    <t>PH_hs_0000989</t>
  </si>
  <si>
    <t>UCK1</t>
  </si>
  <si>
    <t>Homo sapiens uridine-cytidine kinase 1 (UCK1)</t>
  </si>
  <si>
    <t>PH_hs_0000992</t>
  </si>
  <si>
    <t>MRPS18A</t>
  </si>
  <si>
    <t>Homo sapiens mitochondrial ribosomal protein S18A (MRPS18A)</t>
  </si>
  <si>
    <t>PH_hs_0000997</t>
  </si>
  <si>
    <t>PSMB10</t>
  </si>
  <si>
    <t>NP_002792.1</t>
  </si>
  <si>
    <t>PH_hs_0001001</t>
  </si>
  <si>
    <t>GNA13</t>
  </si>
  <si>
    <t>NP_006563.2</t>
  </si>
  <si>
    <t>PH_hs_0001011</t>
  </si>
  <si>
    <t>SS18L2</t>
  </si>
  <si>
    <t>Homo sapiens synovial sarcoma translocation gene on chromosome 18-like 2 (SS18L2)</t>
  </si>
  <si>
    <t>NP_057389.1</t>
  </si>
  <si>
    <t>NDFIP1</t>
  </si>
  <si>
    <t>Homo sapiens Nedd4 family interacting protein 1 (NDFIP1)</t>
  </si>
  <si>
    <t>NP_085048.1</t>
  </si>
  <si>
    <t>ENSP00000253814</t>
  </si>
  <si>
    <t>PH_hs_0001016</t>
  </si>
  <si>
    <t>FAM96B</t>
  </si>
  <si>
    <t>PH_hs_0001021</t>
  </si>
  <si>
    <t>DCXR</t>
  </si>
  <si>
    <t>Homo sapiens dicarbonyl/L-xylulose reductase (DCXR)</t>
  </si>
  <si>
    <t>PH_hs_0001022</t>
  </si>
  <si>
    <t>KIDINS220</t>
  </si>
  <si>
    <t>NP_065789.1</t>
  </si>
  <si>
    <t>PH_hs_0001024</t>
  </si>
  <si>
    <t>RMDN2</t>
  </si>
  <si>
    <t>Homo sapiens regulator of microtubule dynamics 2 (RMDN2)</t>
  </si>
  <si>
    <t>PH_hs_0001028</t>
  </si>
  <si>
    <t>SEC61G</t>
  </si>
  <si>
    <t>Homo sapiens Sec61 gamma subunit (SEC61G)</t>
  </si>
  <si>
    <t>PH_hs_0001034</t>
  </si>
  <si>
    <t>MRPL17</t>
  </si>
  <si>
    <t>Homo sapiens mitochondrial ribosomal protein L17 (MRPL17)</t>
  </si>
  <si>
    <t>NP_071344.1</t>
  </si>
  <si>
    <t>PH_hs_0001048</t>
  </si>
  <si>
    <t>ALCAM</t>
  </si>
  <si>
    <t>Homo sapiens activated leukocyte cell adhesion molecule (ALCAM)</t>
  </si>
  <si>
    <t>PH_hs_0001062</t>
  </si>
  <si>
    <t>LIMA1</t>
  </si>
  <si>
    <t>Homo sapiens LIM domain and actin binding 1 (LIMA1)</t>
  </si>
  <si>
    <t>PH_hs_0001073</t>
  </si>
  <si>
    <t>BMS1</t>
  </si>
  <si>
    <t>Homo sapiens BMS1 ribosome biogenesis factor (BMS1)</t>
  </si>
  <si>
    <t>NP_055568.3</t>
  </si>
  <si>
    <t>ENST00000374518</t>
  </si>
  <si>
    <t>ENSP00000363642</t>
  </si>
  <si>
    <t>PDZD11</t>
  </si>
  <si>
    <t>Homo sapiens PDZ domain containing 11 (PDZD11)</t>
  </si>
  <si>
    <t>NP_057568.1</t>
  </si>
  <si>
    <t>Homo sapiens peptidylprolyl isomerase (cyclophilin)</t>
  </si>
  <si>
    <t>PH_hs_0001087</t>
  </si>
  <si>
    <t>RNF181</t>
  </si>
  <si>
    <t>Homo sapiens ring finger protein 181 (RNF181)</t>
  </si>
  <si>
    <t>NP_057578.1</t>
  </si>
  <si>
    <t>PH_hs_0001088</t>
  </si>
  <si>
    <t>ERRFI1</t>
  </si>
  <si>
    <t>Homo sapiens ERBB receptor feedback inhibitor 1 (ERRFI1)</t>
  </si>
  <si>
    <t>NP_061821.1</t>
  </si>
  <si>
    <t>PH_hs_0001091</t>
  </si>
  <si>
    <t>SNX2</t>
  </si>
  <si>
    <t>Homo sapiens sorting nexin 2 (SNX2)</t>
  </si>
  <si>
    <t>NP_003091.2</t>
  </si>
  <si>
    <t>Homo sapiens dehydrogenase/reductase (SDR family)</t>
  </si>
  <si>
    <t>PH_hs_0001101</t>
  </si>
  <si>
    <t>RABAC1</t>
  </si>
  <si>
    <t>Homo sapiens Rab acceptor 1 (prenylated)</t>
  </si>
  <si>
    <t>NP_006414.2</t>
  </si>
  <si>
    <t>PH_hs_0001103</t>
  </si>
  <si>
    <t>CMPK1</t>
  </si>
  <si>
    <t>PH_hs_0001105</t>
  </si>
  <si>
    <t>CTSF</t>
  </si>
  <si>
    <t>Homo sapiens cathepsin F (CTSF)</t>
  </si>
  <si>
    <t>NP_003784.2</t>
  </si>
  <si>
    <t>PH_hs_0001112</t>
  </si>
  <si>
    <t>SLC27A2</t>
  </si>
  <si>
    <t>Homo sapiens solute carrier family 27 (fatty acid transporter)</t>
  </si>
  <si>
    <t>Homo sapiens YTH N(6)</t>
  </si>
  <si>
    <t>PH_hs_0001120</t>
  </si>
  <si>
    <t>TM4SF4</t>
  </si>
  <si>
    <t>Homo sapiens transmembrane 4 L six family member 4 (TM4SF4)</t>
  </si>
  <si>
    <t>NP_004608.1</t>
  </si>
  <si>
    <t>PH_hs_0001121</t>
  </si>
  <si>
    <t>HMGCR</t>
  </si>
  <si>
    <t>Homo sapiens 3-hydroxy-3-methylglutaryl-CoA reductase (HMGCR)</t>
  </si>
  <si>
    <t>PH_hs_0001122</t>
  </si>
  <si>
    <t>ZGPAT</t>
  </si>
  <si>
    <t>PH_hs_0001127</t>
  </si>
  <si>
    <t>BCL2L14</t>
  </si>
  <si>
    <t>Homo sapiens BCL2-like 14 (apoptosis facilitator)</t>
  </si>
  <si>
    <t>PH_hs_0001128</t>
  </si>
  <si>
    <t>ABCE1</t>
  </si>
  <si>
    <t>EPB41L4A-AS1</t>
  </si>
  <si>
    <t>Homo sapiens EPB41L4A antisense RNA 1 (EPB41L4A-AS1)</t>
  </si>
  <si>
    <t>PH_hs_0001138</t>
  </si>
  <si>
    <t>CHMP2A</t>
  </si>
  <si>
    <t>Homo sapiens charged multivesicular body protein 2A (CHMP2A)</t>
  </si>
  <si>
    <t>Homo sapiens CDC42 effector protein (Rho GTPase binding)</t>
  </si>
  <si>
    <t>PH_hs_0001183</t>
  </si>
  <si>
    <t>EML1</t>
  </si>
  <si>
    <t>Homo sapiens echinoderm microtubule associated protein like 1 (EML1)</t>
  </si>
  <si>
    <t>PH_hs_0001205</t>
  </si>
  <si>
    <t>LRRC49</t>
  </si>
  <si>
    <t>Homo sapiens leucine rich repeat containing 49 (LRRC49)</t>
  </si>
  <si>
    <t>PH_hs_0001210</t>
  </si>
  <si>
    <t>GAREM</t>
  </si>
  <si>
    <t>Homo sapiens A kinase (PRKA)</t>
  </si>
  <si>
    <t>PH_hs_0001238</t>
  </si>
  <si>
    <t>WWC3</t>
  </si>
  <si>
    <t>Homo sapiens WWC family member 3 (WWC3)</t>
  </si>
  <si>
    <t>NP_056506.2</t>
  </si>
  <si>
    <t>PH_hs_0001243</t>
  </si>
  <si>
    <t>LINC00607</t>
  </si>
  <si>
    <t>Homo sapiens long intergenic non-protein coding RNA 607 (LINC00607)</t>
  </si>
  <si>
    <t>PH_hs_0001245</t>
  </si>
  <si>
    <t>TAX1BP3|P2RX5-TAX1BP3</t>
  </si>
  <si>
    <t>Homo sapiens Tax1 (human T-cell leukemia virus type I)|Homo sapiens P2RX5-TAX1BP3 readthrough (NMD candidate)</t>
  </si>
  <si>
    <t>30851|100533970</t>
  </si>
  <si>
    <t>SENP5</t>
  </si>
  <si>
    <t>Homo sapiens SUMO1/sentrin specific peptidase 5 (SENP5)</t>
  </si>
  <si>
    <t>NP_689912.2</t>
  </si>
  <si>
    <t>PH_hs_0001268</t>
  </si>
  <si>
    <t>ACSS3</t>
  </si>
  <si>
    <t>Homo sapiens acyl-CoA synthetase short-chain family member 3 (ACSS3)</t>
  </si>
  <si>
    <t>NP_078836.1</t>
  </si>
  <si>
    <t>Homo sapiens N(alpha)</t>
  </si>
  <si>
    <t>PH_hs_0001281</t>
  </si>
  <si>
    <t>TRAPPC6B</t>
  </si>
  <si>
    <t>Homo sapiens trafficking protein particle complex 6B (TRAPPC6B)</t>
  </si>
  <si>
    <t>HAT1</t>
  </si>
  <si>
    <t>Homo sapiens histone acetyltransferase 1 (HAT1)</t>
  </si>
  <si>
    <t>NPR3</t>
  </si>
  <si>
    <t>Homo sapiens natriuretic peptide receptor 3 (NPR3)</t>
  </si>
  <si>
    <t>PH_hs_0001329</t>
  </si>
  <si>
    <t>BOLA1</t>
  </si>
  <si>
    <t>Homo sapiens bolA family member 1 (BOLA1)</t>
  </si>
  <si>
    <t>NP_057158.1</t>
  </si>
  <si>
    <t>PH_hs_0001352</t>
  </si>
  <si>
    <t>ICOSLG</t>
  </si>
  <si>
    <t>Homo sapiens inducible T-cell co-stimulator ligand (ICOSLG)</t>
  </si>
  <si>
    <t>NP_056074.1</t>
  </si>
  <si>
    <t>ENST00000620481</t>
  </si>
  <si>
    <t>ENSP00000484302</t>
  </si>
  <si>
    <t>PH_hs_0001360</t>
  </si>
  <si>
    <t>SRBD1</t>
  </si>
  <si>
    <t>Homo sapiens S1 RNA binding domain 1 (SRBD1)</t>
  </si>
  <si>
    <t>NP_060549.4</t>
  </si>
  <si>
    <t>ENSP00000263736</t>
  </si>
  <si>
    <t>PH_hs_0001363</t>
  </si>
  <si>
    <t>NOP10</t>
  </si>
  <si>
    <t>Homo sapiens NOP10 ribonucleoprotein (NOP10)</t>
  </si>
  <si>
    <t>NP_061118.1</t>
  </si>
  <si>
    <t>PH_hs_0001371</t>
  </si>
  <si>
    <t>MRPL33</t>
  </si>
  <si>
    <t>Homo sapiens mitochondrial ribosomal protein L33 (MRPL33)</t>
  </si>
  <si>
    <t>NP_004882.1</t>
  </si>
  <si>
    <t>NEDD1</t>
  </si>
  <si>
    <t>PH_hs_0001378</t>
  </si>
  <si>
    <t>CEP55</t>
  </si>
  <si>
    <t>Homo sapiens centrosomal protein 55kDa (CEP55)</t>
  </si>
  <si>
    <t>POLR2G</t>
  </si>
  <si>
    <t>NP_002687.1</t>
  </si>
  <si>
    <t>CLN8</t>
  </si>
  <si>
    <t>NP_061764.2</t>
  </si>
  <si>
    <t>PH_hs_0001415</t>
  </si>
  <si>
    <t>CKLF</t>
  </si>
  <si>
    <t>Homo sapiens chemokine-like factor (CKLF)</t>
  </si>
  <si>
    <t>PH_hs_0001427</t>
  </si>
  <si>
    <t>DDX26B</t>
  </si>
  <si>
    <t>Homo sapiens DEAD/H (Asp-Glu-Ala-Asp/His)</t>
  </si>
  <si>
    <t>NP_872346.3</t>
  </si>
  <si>
    <t>ENSP00000359788</t>
  </si>
  <si>
    <t>PH_hs_0001447</t>
  </si>
  <si>
    <t>TSEN34</t>
  </si>
  <si>
    <t>Homo sapiens TSEN34 tRNA splicing endonuclease subunit (TSEN34)</t>
  </si>
  <si>
    <t>PH_hs_0001462</t>
  </si>
  <si>
    <t>NOM1</t>
  </si>
  <si>
    <t>Homo sapiens nucleolar protein with MIF4G domain 1 (NOM1)</t>
  </si>
  <si>
    <t>NP_612409.1</t>
  </si>
  <si>
    <t>ENSP00000275820</t>
  </si>
  <si>
    <t>PH_hs_0001464</t>
  </si>
  <si>
    <t>GALNT14</t>
  </si>
  <si>
    <t>Homo sapiens polypeptide N-acetylgalactosaminyltransferase 14 (GALNT14)</t>
  </si>
  <si>
    <t>PH_hs_0001471</t>
  </si>
  <si>
    <t>NDUFB9</t>
  </si>
  <si>
    <t>NP_004996.1</t>
  </si>
  <si>
    <t>WBP5</t>
  </si>
  <si>
    <t>Homo sapiens WW domain binding protein 5 (WBP5)</t>
  </si>
  <si>
    <t>PH_hs_0001476</t>
  </si>
  <si>
    <t>NDNF</t>
  </si>
  <si>
    <t>Homo sapiens neuron-derived neurotrophic factor (NDNF)</t>
  </si>
  <si>
    <t>NP_078850.3</t>
  </si>
  <si>
    <t>PH_hs_0001478</t>
  </si>
  <si>
    <t>NTPCR</t>
  </si>
  <si>
    <t>NP_115700.1</t>
  </si>
  <si>
    <t>PH_hs_0001481</t>
  </si>
  <si>
    <t>THADA</t>
  </si>
  <si>
    <t>Homo sapiens thyroid adenoma associated (THADA)</t>
  </si>
  <si>
    <t>PH_hs_0001497</t>
  </si>
  <si>
    <t>EHBP1</t>
  </si>
  <si>
    <t>Homo sapiens EH domain binding protein 1 (EHBP1)</t>
  </si>
  <si>
    <t>PBLD</t>
  </si>
  <si>
    <t>Homo sapiens phenazine biosynthesis-like protein domain containing (PBLD)</t>
  </si>
  <si>
    <t>PH_hs_0001511</t>
  </si>
  <si>
    <t>ATMIN</t>
  </si>
  <si>
    <t>Homo sapiens ATM interactor (ATMIN)</t>
  </si>
  <si>
    <t>NP_056066.2</t>
  </si>
  <si>
    <t>PH_hs_0001519</t>
  </si>
  <si>
    <t>PODXL</t>
  </si>
  <si>
    <t>Homo sapiens podocalyxin-like (PODXL)</t>
  </si>
  <si>
    <t>USP31</t>
  </si>
  <si>
    <t>Homo sapiens ubiquitin specific peptidase 31 (USP31)</t>
  </si>
  <si>
    <t>NP_065769.3</t>
  </si>
  <si>
    <t>PH_hs_0001555</t>
  </si>
  <si>
    <t>TBC1D23</t>
  </si>
  <si>
    <t>PH_hs_0001556</t>
  </si>
  <si>
    <t>ITM2A</t>
  </si>
  <si>
    <t>Homo sapiens integral membrane protein 2A (ITM2A)</t>
  </si>
  <si>
    <t>PH_hs_0001558</t>
  </si>
  <si>
    <t>DHRS3</t>
  </si>
  <si>
    <t>NP_004744.2</t>
  </si>
  <si>
    <t>PH_hs_0001561</t>
  </si>
  <si>
    <t>RBM33</t>
  </si>
  <si>
    <t>Homo sapiens RNA binding motif protein 33 (RBM33)</t>
  </si>
  <si>
    <t>NP_444271.2</t>
  </si>
  <si>
    <t>PH_hs_0001569</t>
  </si>
  <si>
    <t>TTC17</t>
  </si>
  <si>
    <t>Homo sapiens tetratricopeptide repeat domain 17 (TTC17)</t>
  </si>
  <si>
    <t>NP_060729.2</t>
  </si>
  <si>
    <t>MRPL15</t>
  </si>
  <si>
    <t>Homo sapiens mitochondrial ribosomal protein L15 (MRPL15)</t>
  </si>
  <si>
    <t>NP_054894.1</t>
  </si>
  <si>
    <t>DNAJC30</t>
  </si>
  <si>
    <t>NP_115693.2</t>
  </si>
  <si>
    <t>ENST00000395176</t>
  </si>
  <si>
    <t>ENSP00000378605</t>
  </si>
  <si>
    <t>PH_hs_0001661</t>
  </si>
  <si>
    <t>PCSK9</t>
  </si>
  <si>
    <t>Homo sapiens proprotein convertase subtilisin/kexin type 9 (PCSK9)</t>
  </si>
  <si>
    <t>NP_777596.2</t>
  </si>
  <si>
    <t>ENSP00000303208</t>
  </si>
  <si>
    <t>PH_hs_0001665</t>
  </si>
  <si>
    <t>CCDC53</t>
  </si>
  <si>
    <t>Homo sapiens coiled-coil domain containing 53 (CCDC53)</t>
  </si>
  <si>
    <t>NP_057137.1</t>
  </si>
  <si>
    <t>PH_hs_0001677</t>
  </si>
  <si>
    <t>TMEM60</t>
  </si>
  <si>
    <t>Homo sapiens transmembrane protein 60 (TMEM60)</t>
  </si>
  <si>
    <t>NP_116325.1</t>
  </si>
  <si>
    <t>ENST00000257663</t>
  </si>
  <si>
    <t>ENSP00000257663</t>
  </si>
  <si>
    <t>PH_hs_0001688</t>
  </si>
  <si>
    <t>LOC400043</t>
  </si>
  <si>
    <t>Homo sapiens uncharacterized LOC400043 (LOC400043)</t>
  </si>
  <si>
    <t>ENST00000508564</t>
  </si>
  <si>
    <t>PH_hs_0001694</t>
  </si>
  <si>
    <t>NDUFB5</t>
  </si>
  <si>
    <t>PH_hs_0001704</t>
  </si>
  <si>
    <t>EFTUD1</t>
  </si>
  <si>
    <t>Homo sapiens elongation factor Tu GTP binding domain containing 1 (EFTUD1)</t>
  </si>
  <si>
    <t>PH_hs_0001710</t>
  </si>
  <si>
    <t>IFI27L1</t>
  </si>
  <si>
    <t>PH_hs_0001717</t>
  </si>
  <si>
    <t>NDUFA7</t>
  </si>
  <si>
    <t>NP_004992.2</t>
  </si>
  <si>
    <t>Homo sapiens N-deacetylase/N-sulfotransferase (heparan glucosaminyl)</t>
  </si>
  <si>
    <t>PH_hs_0001760</t>
  </si>
  <si>
    <t>KBTBD2</t>
  </si>
  <si>
    <t>NP_056298.2</t>
  </si>
  <si>
    <t>PH_hs_0001780</t>
  </si>
  <si>
    <t>MRE11A</t>
  </si>
  <si>
    <t>Homo sapiens MRE11 meiotic recombination 11 homolog A (S. cerevisiae)</t>
  </si>
  <si>
    <t>PH_hs_0001782</t>
  </si>
  <si>
    <t>GAS2L3</t>
  </si>
  <si>
    <t>Homo sapiens growth arrest-specific 2 like 3 (GAS2L3)</t>
  </si>
  <si>
    <t>NP_777602.1</t>
  </si>
  <si>
    <t>PH_hs_0001803</t>
  </si>
  <si>
    <t>LHPP</t>
  </si>
  <si>
    <t>Homo sapiens phospholysine phosphohistidine inorganic pyrophosphate phosphatase (LHPP)</t>
  </si>
  <si>
    <t>PH_hs_0001810</t>
  </si>
  <si>
    <t>HIAT1</t>
  </si>
  <si>
    <t>Homo sapiens hippocampus abundant transcript 1 (HIAT1)</t>
  </si>
  <si>
    <t>NP_149044.2</t>
  </si>
  <si>
    <t>PH_hs_0001818</t>
  </si>
  <si>
    <t>DIP2B</t>
  </si>
  <si>
    <t>Homo sapiens DIP2 disco-interacting protein 2 homolog B (Drosophila)</t>
  </si>
  <si>
    <t>NP_775873.2</t>
  </si>
  <si>
    <t>PH_hs_0001821</t>
  </si>
  <si>
    <t>DOCK10</t>
  </si>
  <si>
    <t>Homo sapiens dedicator of cytokinesis 10 (DOCK10)</t>
  </si>
  <si>
    <t>NP_055504.2</t>
  </si>
  <si>
    <t>PH_hs_0001825</t>
  </si>
  <si>
    <t>SMIM13</t>
  </si>
  <si>
    <t>Homo sapiens small integral membrane protein 13 (SMIM13)</t>
  </si>
  <si>
    <t>NP_001129047.1</t>
  </si>
  <si>
    <t>Homo sapiens TruB pseudouridine (psi)</t>
  </si>
  <si>
    <t>PH_hs_0001835</t>
  </si>
  <si>
    <t>COL4A3BP</t>
  </si>
  <si>
    <t>PH_hs_0001840</t>
  </si>
  <si>
    <t>ZWILCH</t>
  </si>
  <si>
    <t>Homo sapiens zwilch kinetochore protein (ZWILCH)</t>
  </si>
  <si>
    <t>NP_060445.3</t>
  </si>
  <si>
    <t>Homo sapiens p21 protein (Cdc42/Rac)</t>
  </si>
  <si>
    <t>PH_hs_0001870</t>
  </si>
  <si>
    <t>PPP1CB</t>
  </si>
  <si>
    <t>PH_hs_0001922</t>
  </si>
  <si>
    <t>SMIM1</t>
  </si>
  <si>
    <t>Homo sapiens small integral membrane protein 1 (Vel blood group)</t>
  </si>
  <si>
    <t>NP_001157196.1</t>
  </si>
  <si>
    <t>PH_hs_0001946</t>
  </si>
  <si>
    <t>WDR89</t>
  </si>
  <si>
    <t>Homo sapiens WD repeat domain 89 (WDR89)</t>
  </si>
  <si>
    <t>PH_hs_0001951</t>
  </si>
  <si>
    <t>ZDHHC6</t>
  </si>
  <si>
    <t>NP_071939.1</t>
  </si>
  <si>
    <t>PH_hs_0001961</t>
  </si>
  <si>
    <t>ARHGEF40</t>
  </si>
  <si>
    <t>NP_060541.3</t>
  </si>
  <si>
    <t>ZNF639</t>
  </si>
  <si>
    <t>Homo sapiens zinc finger protein 639 (ZNF639)</t>
  </si>
  <si>
    <t>NP_057415.1</t>
  </si>
  <si>
    <t>PH_hs_0002007</t>
  </si>
  <si>
    <t>ARHGAP36</t>
  </si>
  <si>
    <t>Homo sapiens Rho GTPase activating protein 36 (ARHGAP36)</t>
  </si>
  <si>
    <t>NP_659404.2</t>
  </si>
  <si>
    <t>PH_hs_0002008</t>
  </si>
  <si>
    <t>XYLT1</t>
  </si>
  <si>
    <t>Homo sapiens xylosyltransferase I (XYLT1)</t>
  </si>
  <si>
    <t>NP_071449.1</t>
  </si>
  <si>
    <t>ENSP00000261381</t>
  </si>
  <si>
    <t>RTN4RL1</t>
  </si>
  <si>
    <t>Homo sapiens reticulon 4 receptor-like 1 (RTN4RL1)</t>
  </si>
  <si>
    <t>NP_848663.1</t>
  </si>
  <si>
    <t>ENST00000331238</t>
  </si>
  <si>
    <t>ENSP00000330631</t>
  </si>
  <si>
    <t>PH_hs_0002038</t>
  </si>
  <si>
    <t>LIX1</t>
  </si>
  <si>
    <t>Homo sapiens Lix1 homolog (chicken)</t>
  </si>
  <si>
    <t>NP_694966.3</t>
  </si>
  <si>
    <t>PH_hs_0002048</t>
  </si>
  <si>
    <t>ACTR6</t>
  </si>
  <si>
    <t>Homo sapiens ARP6 actin-related protein 6 homolog (yeast)</t>
  </si>
  <si>
    <t>MINA</t>
  </si>
  <si>
    <t>Homo sapiens MYC induced nuclear antigen (MINA)</t>
  </si>
  <si>
    <t>PH_hs_0002054</t>
  </si>
  <si>
    <t>TMEM87B</t>
  </si>
  <si>
    <t>Homo sapiens transmembrane protein 87B (TMEM87B)</t>
  </si>
  <si>
    <t>NP_116213.1</t>
  </si>
  <si>
    <t>PGM2</t>
  </si>
  <si>
    <t>Homo sapiens phosphoglucomutase 2 (PGM2)</t>
  </si>
  <si>
    <t>NP_060760.2</t>
  </si>
  <si>
    <t>PH_hs_0002069</t>
  </si>
  <si>
    <t>KCNC1</t>
  </si>
  <si>
    <t>NP_004967.1</t>
  </si>
  <si>
    <t>PH_hs_0002070</t>
  </si>
  <si>
    <t>CWC27</t>
  </si>
  <si>
    <t>Homo sapiens CWC27 spliceosome-associated protein homolog (S. cerevisiae)</t>
  </si>
  <si>
    <t>NP_005860.2</t>
  </si>
  <si>
    <t>PH_hs_0002073</t>
  </si>
  <si>
    <t>CAMSAP2</t>
  </si>
  <si>
    <t>NP_982284.1</t>
  </si>
  <si>
    <t>PH_hs_0002081</t>
  </si>
  <si>
    <t>STK26</t>
  </si>
  <si>
    <t>Homo sapiens serine/threonine protein kinase 26 (STK26)</t>
  </si>
  <si>
    <t>PH_hs_0002091</t>
  </si>
  <si>
    <t>FAM213B</t>
  </si>
  <si>
    <t>PH_hs_0002105</t>
  </si>
  <si>
    <t>AVPI1</t>
  </si>
  <si>
    <t>Homo sapiens arginine vasopressin-induced 1 (AVPI1)</t>
  </si>
  <si>
    <t>NP_068378.2</t>
  </si>
  <si>
    <t>ENST00000370626</t>
  </si>
  <si>
    <t>ENSP00000359660</t>
  </si>
  <si>
    <t>PH_hs_0002121</t>
  </si>
  <si>
    <t>RASGRP3</t>
  </si>
  <si>
    <t>Homo sapiens RAS guanyl releasing protein 3 (calcium and DAG-regulated)</t>
  </si>
  <si>
    <t>Homo sapiens solute carrier family 31 (copper transporter)</t>
  </si>
  <si>
    <t>Homo sapiens lysine (K)</t>
  </si>
  <si>
    <t>PH_hs_0002131</t>
  </si>
  <si>
    <t>VEZT</t>
  </si>
  <si>
    <t>PH_hs_0002147</t>
  </si>
  <si>
    <t>NP_004878.2</t>
  </si>
  <si>
    <t>PH_hs_0002157</t>
  </si>
  <si>
    <t>NXT1</t>
  </si>
  <si>
    <t>Homo sapiens nuclear transport factor 2-like export factor 1 (NXT1)</t>
  </si>
  <si>
    <t>NP_037380.1</t>
  </si>
  <si>
    <t>ENST00000254998</t>
  </si>
  <si>
    <t>ENSP00000254998</t>
  </si>
  <si>
    <t>PH_hs_0002168</t>
  </si>
  <si>
    <t>TAF4</t>
  </si>
  <si>
    <t>NP_003176.2</t>
  </si>
  <si>
    <t>SGPP1</t>
  </si>
  <si>
    <t>Homo sapiens sphingosine-1-phosphate phosphatase 1 (SGPP1)</t>
  </si>
  <si>
    <t>NP_110418.1</t>
  </si>
  <si>
    <t>ENST00000247225</t>
  </si>
  <si>
    <t>ENSP00000247225</t>
  </si>
  <si>
    <t>PH_hs_0002173</t>
  </si>
  <si>
    <t>ARRDC3</t>
  </si>
  <si>
    <t>Homo sapiens arrestin domain containing 3 (ARRDC3)</t>
  </si>
  <si>
    <t>NP_065852.1</t>
  </si>
  <si>
    <t>ENSP00000265138</t>
  </si>
  <si>
    <t>PH_hs_0002176</t>
  </si>
  <si>
    <t>MOAP1</t>
  </si>
  <si>
    <t>Homo sapiens modulator of apoptosis 1 (MOAP1)</t>
  </si>
  <si>
    <t>NP_071434.2</t>
  </si>
  <si>
    <t>PH_hs_0002193</t>
  </si>
  <si>
    <t>RAB39B</t>
  </si>
  <si>
    <t>NP_741995.1</t>
  </si>
  <si>
    <t>ENST00000369454</t>
  </si>
  <si>
    <t>ENSP00000358466</t>
  </si>
  <si>
    <t>Homo sapiens carbohydrate (chondroitin 4)</t>
  </si>
  <si>
    <t>PH_hs_0002222</t>
  </si>
  <si>
    <t>ZNF248</t>
  </si>
  <si>
    <t>Homo sapiens zinc finger protein 248 (ZNF248)</t>
  </si>
  <si>
    <t>PH_hs_0002224</t>
  </si>
  <si>
    <t>RNASEH2A</t>
  </si>
  <si>
    <t>NP_006388.2</t>
  </si>
  <si>
    <t>ENSP00000221486</t>
  </si>
  <si>
    <t>PRSS23</t>
  </si>
  <si>
    <t>NP_009104.2</t>
  </si>
  <si>
    <t>PH_hs_0002230</t>
  </si>
  <si>
    <t>ZC3H7B</t>
  </si>
  <si>
    <t>Homo sapiens zinc finger CCCH-type containing 7B (ZC3H7B)</t>
  </si>
  <si>
    <t>NP_060060.3</t>
  </si>
  <si>
    <t>ENSP00000345793</t>
  </si>
  <si>
    <t>PH_hs_0002265</t>
  </si>
  <si>
    <t>ZBED5</t>
  </si>
  <si>
    <t>PH_hs_0002272</t>
  </si>
  <si>
    <t>NBN</t>
  </si>
  <si>
    <t>Homo sapiens nibrin (NBN)</t>
  </si>
  <si>
    <t>NP_002476.2</t>
  </si>
  <si>
    <t>PH_hs_0002274</t>
  </si>
  <si>
    <t>ZMPSTE24</t>
  </si>
  <si>
    <t>Homo sapiens zinc metallopeptidase STE24 (ZMPSTE24)</t>
  </si>
  <si>
    <t>NP_005848.2</t>
  </si>
  <si>
    <t>ENSP00000361845</t>
  </si>
  <si>
    <t>Homo sapiens gem (nuclear organelle)</t>
  </si>
  <si>
    <t>PH_hs_0002309</t>
  </si>
  <si>
    <t>PANK4</t>
  </si>
  <si>
    <t>Homo sapiens pantothenate kinase 4 (PANK4)</t>
  </si>
  <si>
    <t>NP_060686.2</t>
  </si>
  <si>
    <t>ZRANB1</t>
  </si>
  <si>
    <t>NP_060050.2</t>
  </si>
  <si>
    <t>ENSP00000352676</t>
  </si>
  <si>
    <t>PH_hs_0002325</t>
  </si>
  <si>
    <t>GSTZ1</t>
  </si>
  <si>
    <t>Homo sapiens glutathione S-transferase zeta 1 (GSTZ1)</t>
  </si>
  <si>
    <t>PH_hs_0002340</t>
  </si>
  <si>
    <t>SDPR</t>
  </si>
  <si>
    <t>Homo sapiens serum deprivation response (SDPR)</t>
  </si>
  <si>
    <t>NP_004648.1</t>
  </si>
  <si>
    <t>ENST00000304141</t>
  </si>
  <si>
    <t>ENSP00000305675</t>
  </si>
  <si>
    <t>LARP4</t>
  </si>
  <si>
    <t>PH_hs_0002353</t>
  </si>
  <si>
    <t>HERC5</t>
  </si>
  <si>
    <t>Homo sapiens HECT and RLD domain containing E3 ubiquitin protein ligase 5 (HERC5)</t>
  </si>
  <si>
    <t>NP_057407.2</t>
  </si>
  <si>
    <t>PH_hs_0002363</t>
  </si>
  <si>
    <t>NOL11</t>
  </si>
  <si>
    <t>Homo sapiens nucleolar protein 11 (NOL11)</t>
  </si>
  <si>
    <t>NP_056277.2</t>
  </si>
  <si>
    <t>PH_hs_0002395</t>
  </si>
  <si>
    <t>RIOK2</t>
  </si>
  <si>
    <t>Homo sapiens RIO kinase 2 (RIOK2)</t>
  </si>
  <si>
    <t>NP_060813.2</t>
  </si>
  <si>
    <t>PH_hs_0002401</t>
  </si>
  <si>
    <t>CYS1</t>
  </si>
  <si>
    <t>Homo sapiens cystin 1 (CYS1)</t>
  </si>
  <si>
    <t>NP_001032237.1</t>
  </si>
  <si>
    <t>ENSP00000371234</t>
  </si>
  <si>
    <t>PH_hs_0002405</t>
  </si>
  <si>
    <t>SCAMP1-AS1</t>
  </si>
  <si>
    <t>Homo sapiens SCAMP1 antisense RNA 1 (SCAMP1-AS1)</t>
  </si>
  <si>
    <t>ZNF395</t>
  </si>
  <si>
    <t>Homo sapiens zinc finger protein 395 (ZNF395)</t>
  </si>
  <si>
    <t>NP_061130.1</t>
  </si>
  <si>
    <t>PH_hs_0002445</t>
  </si>
  <si>
    <t>SEMA5A</t>
  </si>
  <si>
    <t>NP_003957.2</t>
  </si>
  <si>
    <t>PH_hs_0002447</t>
  </si>
  <si>
    <t>MID1</t>
  </si>
  <si>
    <t>Homo sapiens midline 1 (MID1)</t>
  </si>
  <si>
    <t>KIAA0753</t>
  </si>
  <si>
    <t>Homo sapiens KIAA0753 (KIAA0753)</t>
  </si>
  <si>
    <t>NP_055619.2</t>
  </si>
  <si>
    <t>PH_hs_0002490</t>
  </si>
  <si>
    <t>MZT1</t>
  </si>
  <si>
    <t>Homo sapiens mitotic spindle organizing protein 1 (MZT1)</t>
  </si>
  <si>
    <t>NP_001065243.1</t>
  </si>
  <si>
    <t>ENST00000377818</t>
  </si>
  <si>
    <t>ENSP00000367049</t>
  </si>
  <si>
    <t>PH_hs_0002496</t>
  </si>
  <si>
    <t>SUSD1</t>
  </si>
  <si>
    <t>Homo sapiens sushi domain containing 1 (SUSD1)</t>
  </si>
  <si>
    <t>NP_071931.2</t>
  </si>
  <si>
    <t>PH_hs_0002497</t>
  </si>
  <si>
    <t>MBNL1</t>
  </si>
  <si>
    <t>Homo sapiens muscleblind-like splicing regulator 1 (MBNL1)</t>
  </si>
  <si>
    <t>PH_hs_0002512</t>
  </si>
  <si>
    <t>ZNF449</t>
  </si>
  <si>
    <t>Homo sapiens zinc finger protein 449 (ZNF449)</t>
  </si>
  <si>
    <t>NP_689908.3</t>
  </si>
  <si>
    <t>PH_hs_0002524</t>
  </si>
  <si>
    <t>APRT</t>
  </si>
  <si>
    <t>Homo sapiens adenine phosphoribosyltransferase (APRT)</t>
  </si>
  <si>
    <t>PH_hs_0002552</t>
  </si>
  <si>
    <t>DHX40</t>
  </si>
  <si>
    <t>PH_hs_0002557</t>
  </si>
  <si>
    <t>GDAP2</t>
  </si>
  <si>
    <t>Homo sapiens ganglioside induced differentiation associated protein 2 (GDAP2)</t>
  </si>
  <si>
    <t>NP_060156.1</t>
  </si>
  <si>
    <t>PH_hs_0002568</t>
  </si>
  <si>
    <t>L3HYPDH</t>
  </si>
  <si>
    <t>Homo sapiens L-3-hydroxyproline dehydratase (trans-)</t>
  </si>
  <si>
    <t>NP_653182.1</t>
  </si>
  <si>
    <t>PH_hs_0002575</t>
  </si>
  <si>
    <t>ZUFSP</t>
  </si>
  <si>
    <t>Homo sapiens zinc finger with UFM1-specific peptidase domain (ZUFSP)</t>
  </si>
  <si>
    <t>NP_659499.2</t>
  </si>
  <si>
    <t>SLC26A2</t>
  </si>
  <si>
    <t>NP_000103.2</t>
  </si>
  <si>
    <t>PH_hs_0002585</t>
  </si>
  <si>
    <t>EMC6</t>
  </si>
  <si>
    <t>Homo sapiens ER membrane protein complex subunit 6 (EMC6)</t>
  </si>
  <si>
    <t>PH_hs_0002591</t>
  </si>
  <si>
    <t>HIPK3</t>
  </si>
  <si>
    <t>Homo sapiens homeodomain interacting protein kinase 3 (HIPK3)</t>
  </si>
  <si>
    <t>PH_hs_0002592</t>
  </si>
  <si>
    <t>EVA1C</t>
  </si>
  <si>
    <t>Homo sapiens eva-1 homolog C (C. elegans)</t>
  </si>
  <si>
    <t>NP_478067.2</t>
  </si>
  <si>
    <t>PH_hs_0002595</t>
  </si>
  <si>
    <t>COPS2</t>
  </si>
  <si>
    <t>Homo sapiens COP9 signalosome subunit 2 (COPS2)</t>
  </si>
  <si>
    <t>PH_hs_0002596</t>
  </si>
  <si>
    <t>CLN5</t>
  </si>
  <si>
    <t>NP_006484.1</t>
  </si>
  <si>
    <t>PH_hs_0002599</t>
  </si>
  <si>
    <t>RC3H1</t>
  </si>
  <si>
    <t>Homo sapiens ring finger and CCCH-type domains 1 (RC3H1)</t>
  </si>
  <si>
    <t>NP_742068.1</t>
  </si>
  <si>
    <t>PH_hs_0002604</t>
  </si>
  <si>
    <t>NDFIP2</t>
  </si>
  <si>
    <t>Homo sapiens Nedd4 family interacting protein 2 (NDFIP2)</t>
  </si>
  <si>
    <t>OTUD6B</t>
  </si>
  <si>
    <t>Homo sapiens OTU domain containing 6B (OTUD6B)</t>
  </si>
  <si>
    <t>NP_057107.3</t>
  </si>
  <si>
    <t>PH_hs_0002622</t>
  </si>
  <si>
    <t>GTF2H3</t>
  </si>
  <si>
    <t>PH_hs_0002640</t>
  </si>
  <si>
    <t>EFNB2</t>
  </si>
  <si>
    <t>Homo sapiens ephrin-B2 (EFNB2)</t>
  </si>
  <si>
    <t>NP_004084.1</t>
  </si>
  <si>
    <t>ENST00000245323</t>
  </si>
  <si>
    <t>ENSP00000245323</t>
  </si>
  <si>
    <t>PH_hs_0002646</t>
  </si>
  <si>
    <t>MTF2</t>
  </si>
  <si>
    <t>Homo sapiens metal response element binding transcription factor 2 (MTF2)</t>
  </si>
  <si>
    <t>PH_hs_0002682</t>
  </si>
  <si>
    <t>NDUFA8</t>
  </si>
  <si>
    <t>NP_055037.1</t>
  </si>
  <si>
    <t>ENST00000373768</t>
  </si>
  <si>
    <t>ENSP00000362873</t>
  </si>
  <si>
    <t>PH_hs_0002685</t>
  </si>
  <si>
    <t>CLDN11</t>
  </si>
  <si>
    <t>Homo sapiens claudin 11 (CLDN11)</t>
  </si>
  <si>
    <t>PH_hs_0002689</t>
  </si>
  <si>
    <t>PLD6</t>
  </si>
  <si>
    <t>NP_849158.2</t>
  </si>
  <si>
    <t>ENST00000321560</t>
  </si>
  <si>
    <t>ENSP00000317177</t>
  </si>
  <si>
    <t>PH_hs_0002712</t>
  </si>
  <si>
    <t>PDS5A</t>
  </si>
  <si>
    <t>Homo sapiens PDS5 cohesin associated factor A (PDS5A)</t>
  </si>
  <si>
    <t>NP_001093869.1</t>
  </si>
  <si>
    <t>PH_hs_0002716</t>
  </si>
  <si>
    <t>POT1</t>
  </si>
  <si>
    <t>Homo sapiens protection of telomeres 1 (POT1)</t>
  </si>
  <si>
    <t>PH_hs_0002718</t>
  </si>
  <si>
    <t>SNAPIN</t>
  </si>
  <si>
    <t>Homo sapiens SNAP-associated protein (SNAPIN)</t>
  </si>
  <si>
    <t>ENSP00000357674</t>
  </si>
  <si>
    <t>PH_hs_0002728</t>
  </si>
  <si>
    <t>MRPL36</t>
  </si>
  <si>
    <t>Homo sapiens mitochondrial ribosomal protein L36 (MRPL36)</t>
  </si>
  <si>
    <t>NP_115868.1</t>
  </si>
  <si>
    <t>PH_hs_0002731</t>
  </si>
  <si>
    <t>INPP1</t>
  </si>
  <si>
    <t>Homo sapiens inositol polyphosphate-1-phosphatase (INPP1)</t>
  </si>
  <si>
    <t>PH_hs_0002734</t>
  </si>
  <si>
    <t>PH_hs_0002744</t>
  </si>
  <si>
    <t>FIBIN</t>
  </si>
  <si>
    <t>Homo sapiens fin bud initiation factor homolog (zebrafish)</t>
  </si>
  <si>
    <t>NP_976249.1</t>
  </si>
  <si>
    <t>ENST00000318627</t>
  </si>
  <si>
    <t>ENSP00000321962</t>
  </si>
  <si>
    <t>PH_hs_0002747</t>
  </si>
  <si>
    <t>KCNJ4</t>
  </si>
  <si>
    <t>ENST00000303592</t>
  </si>
  <si>
    <t>ENSP00000306497</t>
  </si>
  <si>
    <t>PH_hs_0002755</t>
  </si>
  <si>
    <t>SPTBN4</t>
  </si>
  <si>
    <t>NP_066022.2</t>
  </si>
  <si>
    <t>PH_hs_0002781</t>
  </si>
  <si>
    <t>DPCD</t>
  </si>
  <si>
    <t>Homo sapiens deleted in primary ciliary dyskinesia homolog (mouse)</t>
  </si>
  <si>
    <t>NP_056263.1</t>
  </si>
  <si>
    <t>PADI2</t>
  </si>
  <si>
    <t>NP_031391.2</t>
  </si>
  <si>
    <t>C18orf25</t>
  </si>
  <si>
    <t>Homo sapiens chromosome 18 open reading frame 25 (C18orf25)</t>
  </si>
  <si>
    <t>PH_hs_0002813</t>
  </si>
  <si>
    <t>METTL18</t>
  </si>
  <si>
    <t>Homo sapiens methyltransferase like 18 (METTL18)</t>
  </si>
  <si>
    <t>NP_219486.1</t>
  </si>
  <si>
    <t>PH_hs_0002853</t>
  </si>
  <si>
    <t>PTBP2</t>
  </si>
  <si>
    <t>Homo sapiens polypyrimidine tract binding protein 2 (PTBP2)</t>
  </si>
  <si>
    <t>NP_067013.1</t>
  </si>
  <si>
    <t>PH_hs_0002857</t>
  </si>
  <si>
    <t>USP1</t>
  </si>
  <si>
    <t>Homo sapiens ubiquitin specific peptidase 1 (USP1)</t>
  </si>
  <si>
    <t>PH_hs_0002869</t>
  </si>
  <si>
    <t>BBX</t>
  </si>
  <si>
    <t>Homo sapiens bobby sox homolog (Drosophila)</t>
  </si>
  <si>
    <t>PH_hs_0002874</t>
  </si>
  <si>
    <t>ZFP14</t>
  </si>
  <si>
    <t>Homo sapiens ZFP14 zinc finger protein (ZFP14)</t>
  </si>
  <si>
    <t>NP_065968.1</t>
  </si>
  <si>
    <t>PH_hs_0002885</t>
  </si>
  <si>
    <t>MBD4</t>
  </si>
  <si>
    <t>Homo sapiens methyl-CpG binding domain protein 4 (MBD4)</t>
  </si>
  <si>
    <t>NP_003916.1</t>
  </si>
  <si>
    <t>PH_hs_0002908</t>
  </si>
  <si>
    <t>HRASLS</t>
  </si>
  <si>
    <t>Homo sapiens HRAS-like suppressor (HRASLS)</t>
  </si>
  <si>
    <t>NP_065119.2</t>
  </si>
  <si>
    <t>CCNDBP1</t>
  </si>
  <si>
    <t>Homo sapiens cyclin D-type binding-protein 1 (CCNDBP1)</t>
  </si>
  <si>
    <t>PH_hs_0002918</t>
  </si>
  <si>
    <t>HSPH1</t>
  </si>
  <si>
    <t>Homo sapiens heat shock 105kDa/110kDa protein 1 (HSPH1)</t>
  </si>
  <si>
    <t>NP_006635.2</t>
  </si>
  <si>
    <t>PH_hs_0002929</t>
  </si>
  <si>
    <t>HOXA5</t>
  </si>
  <si>
    <t>Homo sapiens homeobox A5 (HOXA5)</t>
  </si>
  <si>
    <t>NP_061975.2</t>
  </si>
  <si>
    <t>ENSP00000222726</t>
  </si>
  <si>
    <t>PH_hs_0002935</t>
  </si>
  <si>
    <t>CALCA</t>
  </si>
  <si>
    <t>Homo sapiens calcitonin-related polypeptide alpha (CALCA)</t>
  </si>
  <si>
    <t>NR1D2</t>
  </si>
  <si>
    <t>PH_hs_0002954</t>
  </si>
  <si>
    <t>STRA13</t>
  </si>
  <si>
    <t>Homo sapiens stimulated by retinoic acid 13 (STRA13)</t>
  </si>
  <si>
    <t>PH_hs_0002982</t>
  </si>
  <si>
    <t>SP110</t>
  </si>
  <si>
    <t>Homo sapiens SP110 nuclear body protein (SP110)</t>
  </si>
  <si>
    <t>ENST00000540870</t>
  </si>
  <si>
    <t>ENSP00000439558</t>
  </si>
  <si>
    <t>PH_hs_0003053</t>
  </si>
  <si>
    <t>TMEM178A</t>
  </si>
  <si>
    <t>Homo sapiens transmembrane protein 178A (TMEM178A)</t>
  </si>
  <si>
    <t>PH_hs_0003062</t>
  </si>
  <si>
    <t>MRPL22</t>
  </si>
  <si>
    <t>Homo sapiens mitochondrial ribosomal protein L22 (MRPL22)</t>
  </si>
  <si>
    <t>Homo sapiens K(lysine)</t>
  </si>
  <si>
    <t>PH_hs_0003115</t>
  </si>
  <si>
    <t>F2RL2</t>
  </si>
  <si>
    <t>Homo sapiens coagulation factor II (thrombin)</t>
  </si>
  <si>
    <t>ZNF277</t>
  </si>
  <si>
    <t>Homo sapiens zinc finger protein 277 (ZNF277)</t>
  </si>
  <si>
    <t>NP_068834.2</t>
  </si>
  <si>
    <t>PH_hs_0003124</t>
  </si>
  <si>
    <t>MSH3</t>
  </si>
  <si>
    <t>Homo sapiens mutS homolog 3 (MSH3)</t>
  </si>
  <si>
    <t>NP_002430.3</t>
  </si>
  <si>
    <t>ENSP00000265081</t>
  </si>
  <si>
    <t>PH_hs_0003147</t>
  </si>
  <si>
    <t>PDGFC</t>
  </si>
  <si>
    <t>Homo sapiens platelet derived growth factor C (PDGFC)</t>
  </si>
  <si>
    <t>PH_hs_0003156</t>
  </si>
  <si>
    <t>MYO10</t>
  </si>
  <si>
    <t>Homo sapiens myosin X (MYO10)</t>
  </si>
  <si>
    <t>NP_036466.2</t>
  </si>
  <si>
    <t>AK3</t>
  </si>
  <si>
    <t>Homo sapiens adenylate kinase 3 (AK3)</t>
  </si>
  <si>
    <t>Homo sapiens poly(A)</t>
  </si>
  <si>
    <t>PH_hs_0003193</t>
  </si>
  <si>
    <t>MRPL41</t>
  </si>
  <si>
    <t>Homo sapiens mitochondrial ribosomal protein L41 (MRPL41)</t>
  </si>
  <si>
    <t>NP_115866.1</t>
  </si>
  <si>
    <t>ENST00000371443</t>
  </si>
  <si>
    <t>ENSP00000360498</t>
  </si>
  <si>
    <t>PH_hs_0003218</t>
  </si>
  <si>
    <t>REL</t>
  </si>
  <si>
    <t>Homo sapiens v-rel avian reticuloendotheliosis viral oncogene homolog (REL)</t>
  </si>
  <si>
    <t>NP_002899.1</t>
  </si>
  <si>
    <t>SLC6A15</t>
  </si>
  <si>
    <t>Homo sapiens solute carrier family 6 (neutral amino acid transporter)</t>
  </si>
  <si>
    <t>NP_060527.2</t>
  </si>
  <si>
    <t>PH_hs_0003272</t>
  </si>
  <si>
    <t>CHD6</t>
  </si>
  <si>
    <t>Homo sapiens chromodomain helicase DNA binding protein 6 (CHD6)</t>
  </si>
  <si>
    <t>NP_115597.3</t>
  </si>
  <si>
    <t>PH_hs_0003274</t>
  </si>
  <si>
    <t>LDOC1</t>
  </si>
  <si>
    <t>NP_036449.1</t>
  </si>
  <si>
    <t>ENSP00000359557</t>
  </si>
  <si>
    <t>PH_hs_0003279</t>
  </si>
  <si>
    <t>EPX</t>
  </si>
  <si>
    <t>Homo sapiens eosinophil peroxidase (EPX)</t>
  </si>
  <si>
    <t>NP_000493.1</t>
  </si>
  <si>
    <t>ENST00000225371</t>
  </si>
  <si>
    <t>ENSP00000225371</t>
  </si>
  <si>
    <t>PH_hs_0003282</t>
  </si>
  <si>
    <t>BDKRB1</t>
  </si>
  <si>
    <t>Homo sapiens bradykinin receptor B1 (BDKRB1)</t>
  </si>
  <si>
    <t>NP_000701.2</t>
  </si>
  <si>
    <t>PH_hs_0003285</t>
  </si>
  <si>
    <t>POLR2F</t>
  </si>
  <si>
    <t>NP_068809.1</t>
  </si>
  <si>
    <t>PH_hs_0003286</t>
  </si>
  <si>
    <t>SLCO1A2</t>
  </si>
  <si>
    <t>PH_hs_0003321</t>
  </si>
  <si>
    <t>C1orf122</t>
  </si>
  <si>
    <t>Homo sapiens chromosome 1 open reading frame 122 (C1orf122)</t>
  </si>
  <si>
    <t>Homo sapiens polymerase (DNA directed)</t>
  </si>
  <si>
    <t>PH_hs_0003344</t>
  </si>
  <si>
    <t>POLR2I</t>
  </si>
  <si>
    <t>NP_006224.1</t>
  </si>
  <si>
    <t>PH_hs_0003370</t>
  </si>
  <si>
    <t>CCDC112</t>
  </si>
  <si>
    <t>Homo sapiens coiled-coil domain containing 112 (CCDC112)</t>
  </si>
  <si>
    <t>PH_hs_0003419</t>
  </si>
  <si>
    <t>ARMCX2</t>
  </si>
  <si>
    <t>DACT1</t>
  </si>
  <si>
    <t>Homo sapiens dishevelled-binding antagonist of beta-catenin 1 (DACT1)</t>
  </si>
  <si>
    <t>GLMN</t>
  </si>
  <si>
    <t>NP_444504.1</t>
  </si>
  <si>
    <t>PH_hs_0003430</t>
  </si>
  <si>
    <t>FUT9</t>
  </si>
  <si>
    <t>NP_006572.2</t>
  </si>
  <si>
    <t>ENSP00000302599</t>
  </si>
  <si>
    <t>MCOLN3</t>
  </si>
  <si>
    <t>Homo sapiens mucolipin 3 (MCOLN3)</t>
  </si>
  <si>
    <t>PH_hs_0003438</t>
  </si>
  <si>
    <t>SRP54</t>
  </si>
  <si>
    <t>Homo sapiens signal recognition particle 54kDa (SRP54)</t>
  </si>
  <si>
    <t>PH_hs_0003442</t>
  </si>
  <si>
    <t>GMIP</t>
  </si>
  <si>
    <t>Homo sapiens GEM interacting protein (GMIP)</t>
  </si>
  <si>
    <t>NP_057657.2</t>
  </si>
  <si>
    <t>PH_hs_0003453</t>
  </si>
  <si>
    <t>UACA</t>
  </si>
  <si>
    <t>Homo sapiens uveal autoantigen with coiled-coil domains and ankyrin repeats (UACA)</t>
  </si>
  <si>
    <t>PH_hs_0003479</t>
  </si>
  <si>
    <t>C9orf24</t>
  </si>
  <si>
    <t>Homo sapiens chromosome 9 open reading frame 24 (C9orf24)</t>
  </si>
  <si>
    <t>PH_hs_0003484</t>
  </si>
  <si>
    <t>ZNF75A</t>
  </si>
  <si>
    <t>Homo sapiens zinc finger protein 75a (ZNF75A)</t>
  </si>
  <si>
    <t>NP_694573.1</t>
  </si>
  <si>
    <t>PH_hs_0003493</t>
  </si>
  <si>
    <t>TP53I3</t>
  </si>
  <si>
    <t>Homo sapiens tumor protein p53 inducible protein 3 (TP53I3)</t>
  </si>
  <si>
    <t>PH_hs_0003525</t>
  </si>
  <si>
    <t>PTK6</t>
  </si>
  <si>
    <t>Homo sapiens protein tyrosine kinase 6 (PTK6)</t>
  </si>
  <si>
    <t>PH_hs_0003533</t>
  </si>
  <si>
    <t>INPP5F</t>
  </si>
  <si>
    <t>Homo sapiens inositol polyphosphate-5-phosphatase F (INPP5F)</t>
  </si>
  <si>
    <t>Homo sapiens transducin (beta)</t>
  </si>
  <si>
    <t>PH_hs_0003544</t>
  </si>
  <si>
    <t>BMPR2</t>
  </si>
  <si>
    <t>NP_001195.2</t>
  </si>
  <si>
    <t>PIGM</t>
  </si>
  <si>
    <t>NP_660150.1</t>
  </si>
  <si>
    <t>ENST00000368090</t>
  </si>
  <si>
    <t>ENSP00000357069</t>
  </si>
  <si>
    <t>PH_hs_0003560</t>
  </si>
  <si>
    <t>SIX1</t>
  </si>
  <si>
    <t>Homo sapiens SIX homeobox 1 (SIX1)</t>
  </si>
  <si>
    <t>NP_005973.1</t>
  </si>
  <si>
    <t>CENPN</t>
  </si>
  <si>
    <t>Homo sapiens centromere protein N (CENPN)</t>
  </si>
  <si>
    <t>PH_hs_0003615</t>
  </si>
  <si>
    <t>NXPH3</t>
  </si>
  <si>
    <t>Homo sapiens neurexophilin 3 (NXPH3)</t>
  </si>
  <si>
    <t>NP_009156.2</t>
  </si>
  <si>
    <t>MRPS28</t>
  </si>
  <si>
    <t>Homo sapiens mitochondrial ribosomal protein S28 (MRPS28)</t>
  </si>
  <si>
    <t>NP_054737.1</t>
  </si>
  <si>
    <t>PH_hs_0003626</t>
  </si>
  <si>
    <t>KCND1</t>
  </si>
  <si>
    <t>NP_004970.3</t>
  </si>
  <si>
    <t>PH_hs_0003642</t>
  </si>
  <si>
    <t>HCFC2</t>
  </si>
  <si>
    <t>Homo sapiens host cell factor C2 (HCFC2)</t>
  </si>
  <si>
    <t>NP_037452.1</t>
  </si>
  <si>
    <t>PH_hs_0003651</t>
  </si>
  <si>
    <t>SELM</t>
  </si>
  <si>
    <t>Homo sapiens selenoprotein M (SELM)</t>
  </si>
  <si>
    <t>NP_536355.1</t>
  </si>
  <si>
    <t>PH_hs_0003659</t>
  </si>
  <si>
    <t>RRP15</t>
  </si>
  <si>
    <t>Homo sapiens ribosomal RNA processing 15 homolog (S. cerevisiae)</t>
  </si>
  <si>
    <t>NP_057136.2</t>
  </si>
  <si>
    <t>ENSP00000355899</t>
  </si>
  <si>
    <t>PH_hs_0003661</t>
  </si>
  <si>
    <t>TMSB15A</t>
  </si>
  <si>
    <t>Homo sapiens thymosin beta 15a (TMSB15A)</t>
  </si>
  <si>
    <t>NP_068832.1</t>
  </si>
  <si>
    <t>ENST00000289373</t>
  </si>
  <si>
    <t>ENSP00000289373</t>
  </si>
  <si>
    <t>PH_hs_0003671</t>
  </si>
  <si>
    <t>RAB33A</t>
  </si>
  <si>
    <t>NP_004785.1</t>
  </si>
  <si>
    <t>ENST00000257017</t>
  </si>
  <si>
    <t>ENSP00000257017</t>
  </si>
  <si>
    <t>Homo sapiens solute carrier family 11 (proton-coupled divalent metal ion transporter)</t>
  </si>
  <si>
    <t>ENSP00000481183</t>
  </si>
  <si>
    <t>PH_hs_0003691</t>
  </si>
  <si>
    <t>CDH18</t>
  </si>
  <si>
    <t>PH_hs_0003708</t>
  </si>
  <si>
    <t>ZNRD1</t>
  </si>
  <si>
    <t>Homo sapiens zinc ribbon domain containing 1 (ZNRD1)</t>
  </si>
  <si>
    <t>PH_hs_0003743</t>
  </si>
  <si>
    <t>STK32B</t>
  </si>
  <si>
    <t>Homo sapiens serine/threonine kinase 32B (STK32B)</t>
  </si>
  <si>
    <t>NP_060871.1</t>
  </si>
  <si>
    <t>PH_hs_0003748</t>
  </si>
  <si>
    <t>ADAMTS5</t>
  </si>
  <si>
    <t>NP_008969.2</t>
  </si>
  <si>
    <t>ENST00000284987</t>
  </si>
  <si>
    <t>ENSP00000284987</t>
  </si>
  <si>
    <t>PH_hs_0003771</t>
  </si>
  <si>
    <t>ROCK2</t>
  </si>
  <si>
    <t>NP_004841.2</t>
  </si>
  <si>
    <t>PH_hs_0003785</t>
  </si>
  <si>
    <t>FCMR</t>
  </si>
  <si>
    <t>Homo sapiens Fc fragment of IgM receptor (FCMR)</t>
  </si>
  <si>
    <t>PH_hs_0003793</t>
  </si>
  <si>
    <t>BBS7</t>
  </si>
  <si>
    <t>Homo sapiens Bardet-Biedl syndrome 7 (BBS7)</t>
  </si>
  <si>
    <t>NP_789794.1</t>
  </si>
  <si>
    <t>PH_hs_0003808</t>
  </si>
  <si>
    <t>SLC6A16</t>
  </si>
  <si>
    <t>NP_054756.2</t>
  </si>
  <si>
    <t>SPTLC2</t>
  </si>
  <si>
    <t>NP_004854.1</t>
  </si>
  <si>
    <t>PH_hs_0003830</t>
  </si>
  <si>
    <t>SMAD5-AS1</t>
  </si>
  <si>
    <t>Homo sapiens SMAD5 antisense RNA 1 (SMAD5-AS1)</t>
  </si>
  <si>
    <t>ENST00000297163</t>
  </si>
  <si>
    <t>PH_hs_0003865</t>
  </si>
  <si>
    <t>NETO1</t>
  </si>
  <si>
    <t>NP_620416.1</t>
  </si>
  <si>
    <t>PH_hs_0003893</t>
  </si>
  <si>
    <t>C1orf53</t>
  </si>
  <si>
    <t>Homo sapiens chromosome 1 open reading frame 53 (C1orf53)</t>
  </si>
  <si>
    <t>NP_001019765.1</t>
  </si>
  <si>
    <t>PH_hs_0003905</t>
  </si>
  <si>
    <t>BOLA3</t>
  </si>
  <si>
    <t>Homo sapiens bolA family member 3 (BOLA3)</t>
  </si>
  <si>
    <t>PH_hs_0003919</t>
  </si>
  <si>
    <t>PH_hs_0003937</t>
  </si>
  <si>
    <t>ANLN</t>
  </si>
  <si>
    <t>NP_061155.2</t>
  </si>
  <si>
    <t>PH_hs_0003939</t>
  </si>
  <si>
    <t>F3</t>
  </si>
  <si>
    <t>PH_hs_0003940</t>
  </si>
  <si>
    <t>GOLT1B</t>
  </si>
  <si>
    <t>Homo sapiens golgi transport 1B (GOLT1B)</t>
  </si>
  <si>
    <t>NP_057156.1</t>
  </si>
  <si>
    <t>PH_hs_0003945</t>
  </si>
  <si>
    <t>C9orf9</t>
  </si>
  <si>
    <t>Homo sapiens chromosome 9 open reading frame 9 (C9orf9)</t>
  </si>
  <si>
    <t>NP_061829.3</t>
  </si>
  <si>
    <t>PH_hs_0003953</t>
  </si>
  <si>
    <t>DEF8</t>
  </si>
  <si>
    <t>Homo sapiens differentially expressed in FDCP 8 homolog (mouse)</t>
  </si>
  <si>
    <t>PH_hs_0003971</t>
  </si>
  <si>
    <t>MRPL55</t>
  </si>
  <si>
    <t>Homo sapiens mitochondrial ribosomal protein L55 (MRPL55)</t>
  </si>
  <si>
    <t>PH_hs_0003979</t>
  </si>
  <si>
    <t>C11orf84</t>
  </si>
  <si>
    <t>Homo sapiens chromosome 11 open reading frame 84 (C11orf84)</t>
  </si>
  <si>
    <t>NP_612480.1</t>
  </si>
  <si>
    <t>PH_hs_0003985</t>
  </si>
  <si>
    <t>DACH1</t>
  </si>
  <si>
    <t>Homo sapiens dachshund family transcription factor 1 (DACH1)</t>
  </si>
  <si>
    <t>CPSF6</t>
  </si>
  <si>
    <t>NP_008938.2</t>
  </si>
  <si>
    <t>FBXO28</t>
  </si>
  <si>
    <t>Homo sapiens F-box protein 28 (FBXO28)</t>
  </si>
  <si>
    <t>Homo sapiens leucine-rich repeats and calponin homology (CH)</t>
  </si>
  <si>
    <t>PH_hs_0004068</t>
  </si>
  <si>
    <t>NT5C</t>
  </si>
  <si>
    <t>HOXA1</t>
  </si>
  <si>
    <t>Homo sapiens homeobox A1 (HOXA1)</t>
  </si>
  <si>
    <t>PH_hs_0004090</t>
  </si>
  <si>
    <t>CYBA</t>
  </si>
  <si>
    <t>NP_000092.2</t>
  </si>
  <si>
    <t>PH_hs_0004094</t>
  </si>
  <si>
    <t>PKN2</t>
  </si>
  <si>
    <t>Homo sapiens protein kinase N2 (PKN2)</t>
  </si>
  <si>
    <t>NP_006247.1</t>
  </si>
  <si>
    <t>PH_hs_0004095</t>
  </si>
  <si>
    <t>HAUS8</t>
  </si>
  <si>
    <t>PH_hs_0004099</t>
  </si>
  <si>
    <t>LY96</t>
  </si>
  <si>
    <t>Homo sapiens lymphocyte antigen 96 (LY96)</t>
  </si>
  <si>
    <t>CSDE1</t>
  </si>
  <si>
    <t>PH_hs_0004116</t>
  </si>
  <si>
    <t>COX7A2</t>
  </si>
  <si>
    <t>Homo sapiens cytochrome c oxidase subunit VIIa polypeptide 2 (liver)</t>
  </si>
  <si>
    <t>PH_hs_0004134</t>
  </si>
  <si>
    <t>GPBP1</t>
  </si>
  <si>
    <t>Homo sapiens GC-rich promoter binding protein 1 (GPBP1)</t>
  </si>
  <si>
    <t>BMPER</t>
  </si>
  <si>
    <t>Homo sapiens BMP binding endothelial regulator (BMPER)</t>
  </si>
  <si>
    <t>NP_597725.1</t>
  </si>
  <si>
    <t>PH_hs_0004149</t>
  </si>
  <si>
    <t>CPNE8</t>
  </si>
  <si>
    <t>Homo sapiens copine VIII (CPNE8)</t>
  </si>
  <si>
    <t>NP_705898.1</t>
  </si>
  <si>
    <t>PH_hs_0004166</t>
  </si>
  <si>
    <t>WNT7A</t>
  </si>
  <si>
    <t>NP_004616.2</t>
  </si>
  <si>
    <t>ENSP00000285018</t>
  </si>
  <si>
    <t>HINT3</t>
  </si>
  <si>
    <t>Homo sapiens histidine triad nucleotide binding protein 3 (HINT3)</t>
  </si>
  <si>
    <t>NP_612638.3</t>
  </si>
  <si>
    <t>ENST00000229633</t>
  </si>
  <si>
    <t>ENSP00000229633</t>
  </si>
  <si>
    <t>PH_hs_0004177</t>
  </si>
  <si>
    <t>SPEF1</t>
  </si>
  <si>
    <t>Homo sapiens sperm flagellar 1 (SPEF1)</t>
  </si>
  <si>
    <t>NP_056232.2</t>
  </si>
  <si>
    <t>ENSP00000369080</t>
  </si>
  <si>
    <t>CDKN2B</t>
  </si>
  <si>
    <t>PH_hs_0004188</t>
  </si>
  <si>
    <t>GLI3</t>
  </si>
  <si>
    <t>Homo sapiens GLI family zinc finger 3 (GLI3)</t>
  </si>
  <si>
    <t>NP_000159.3</t>
  </si>
  <si>
    <t>PH_hs_0004190</t>
  </si>
  <si>
    <t>CDA</t>
  </si>
  <si>
    <t>Homo sapiens cytidine deaminase (CDA)</t>
  </si>
  <si>
    <t>NP_001776.1</t>
  </si>
  <si>
    <t>ENSP00000364212</t>
  </si>
  <si>
    <t>PH_hs_0004201</t>
  </si>
  <si>
    <t>RASL10A</t>
  </si>
  <si>
    <t>NP_006468.1</t>
  </si>
  <si>
    <t>PH_hs_0004210</t>
  </si>
  <si>
    <t>APEX1</t>
  </si>
  <si>
    <t>Homo sapiens APEX nuclease (multifunctional DNA repair enzyme)</t>
  </si>
  <si>
    <t>PH_hs_0004213</t>
  </si>
  <si>
    <t>VEGFA</t>
  </si>
  <si>
    <t>Homo sapiens vascular endothelial growth factor A (VEGFA)</t>
  </si>
  <si>
    <t>PH_hs_0004215</t>
  </si>
  <si>
    <t>GNAI3</t>
  </si>
  <si>
    <t>NP_006487.1</t>
  </si>
  <si>
    <t>ENST00000369851</t>
  </si>
  <si>
    <t>ENSP00000358867</t>
  </si>
  <si>
    <t>PH_hs_0004222</t>
  </si>
  <si>
    <t>FAH</t>
  </si>
  <si>
    <t>Homo sapiens fumarylacetoacetate hydrolase (fumarylacetoacetase)</t>
  </si>
  <si>
    <t>NP_000128.1</t>
  </si>
  <si>
    <t>EPHA7</t>
  </si>
  <si>
    <t>Homo sapiens EPH receptor A7 (EPHA7)</t>
  </si>
  <si>
    <t>NP_004431.1</t>
  </si>
  <si>
    <t>OLFM1</t>
  </si>
  <si>
    <t>Homo sapiens olfactomedin 1 (OLFM1)</t>
  </si>
  <si>
    <t>NP_055094.1</t>
  </si>
  <si>
    <t>CHD4</t>
  </si>
  <si>
    <t>Homo sapiens chromodomain helicase DNA binding protein 4 (CHD4)</t>
  </si>
  <si>
    <t>NP_001264.2</t>
  </si>
  <si>
    <t>PH_hs_0004267</t>
  </si>
  <si>
    <t>TBCC</t>
  </si>
  <si>
    <t>Homo sapiens tubulin folding cofactor C (TBCC)</t>
  </si>
  <si>
    <t>NP_003183.1</t>
  </si>
  <si>
    <t>ENST00000372876</t>
  </si>
  <si>
    <t>ENSP00000361967</t>
  </si>
  <si>
    <t>PH_hs_0004274</t>
  </si>
  <si>
    <t>TRIM9</t>
  </si>
  <si>
    <t>Homo sapiens tripartite motif containing 9 (TRIM9)</t>
  </si>
  <si>
    <t>NP_055978.4</t>
  </si>
  <si>
    <t>PH_hs_0004289</t>
  </si>
  <si>
    <t>TYRP1</t>
  </si>
  <si>
    <t>Homo sapiens tyrosinase-related protein 1 (TYRP1)</t>
  </si>
  <si>
    <t>NP_000541.1</t>
  </si>
  <si>
    <t>PH_hs_0004290</t>
  </si>
  <si>
    <t>NDUFA9</t>
  </si>
  <si>
    <t>NP_004993.1</t>
  </si>
  <si>
    <t>PH_hs_0004303</t>
  </si>
  <si>
    <t>ST3GAL4</t>
  </si>
  <si>
    <t>PH_hs_0004304</t>
  </si>
  <si>
    <t>UBE4A</t>
  </si>
  <si>
    <t>Homo sapiens ubiquitination factor E4A (UBE4A)</t>
  </si>
  <si>
    <t>PH_hs_0004316</t>
  </si>
  <si>
    <t>PSME1</t>
  </si>
  <si>
    <t>PH_hs_0004324</t>
  </si>
  <si>
    <t>MDH1</t>
  </si>
  <si>
    <t>PH_hs_0004329</t>
  </si>
  <si>
    <t>RALBP1</t>
  </si>
  <si>
    <t>Homo sapiens ralA binding protein 1 (RALBP1)</t>
  </si>
  <si>
    <t>NP_006779.1</t>
  </si>
  <si>
    <t>NEDD8</t>
  </si>
  <si>
    <t>NP_006147.1</t>
  </si>
  <si>
    <t>PH_hs_0004339</t>
  </si>
  <si>
    <t>GNL2</t>
  </si>
  <si>
    <t>Homo sapiens guanine nucleotide binding protein-like 2 (nucleolar)</t>
  </si>
  <si>
    <t>NP_037417.1</t>
  </si>
  <si>
    <t>PH_hs_0004343</t>
  </si>
  <si>
    <t>UROS</t>
  </si>
  <si>
    <t>Homo sapiens uroporphyrinogen III synthase (UROS)</t>
  </si>
  <si>
    <t>NP_000366.1</t>
  </si>
  <si>
    <t>RAB11A</t>
  </si>
  <si>
    <t>PH_hs_0004363</t>
  </si>
  <si>
    <t>MPI</t>
  </si>
  <si>
    <t>Homo sapiens mannose phosphate isomerase (MPI)</t>
  </si>
  <si>
    <t>NP_002426.1</t>
  </si>
  <si>
    <t>PH_hs_0004375</t>
  </si>
  <si>
    <t>GPM6A</t>
  </si>
  <si>
    <t>Homo sapiens glycoprotein M6A (GPM6A)</t>
  </si>
  <si>
    <t>PH_hs_0004378</t>
  </si>
  <si>
    <t>DYRK1A</t>
  </si>
  <si>
    <t>Homo sapiens dual-specificity tyrosine-(Y)</t>
  </si>
  <si>
    <t>USP14</t>
  </si>
  <si>
    <t>Homo sapiens ubiquitin specific peptidase 14 (tRNA-guanine transglycosylase)</t>
  </si>
  <si>
    <t>PH_hs_0004400</t>
  </si>
  <si>
    <t>AK1</t>
  </si>
  <si>
    <t>Homo sapiens adenylate kinase 1 (AK1)</t>
  </si>
  <si>
    <t>NP_000467.1</t>
  </si>
  <si>
    <t>PH_hs_0004403</t>
  </si>
  <si>
    <t>REEP6</t>
  </si>
  <si>
    <t>Homo sapiens receptor accessory protein 6 (REEP6)</t>
  </si>
  <si>
    <t>NP_612402.1</t>
  </si>
  <si>
    <t>PH_hs_0004404</t>
  </si>
  <si>
    <t>MPC2</t>
  </si>
  <si>
    <t>Homo sapiens mitochondrial pyruvate carrier 2 (MPC2)</t>
  </si>
  <si>
    <t>PH_hs_0004405</t>
  </si>
  <si>
    <t>BLVRB</t>
  </si>
  <si>
    <t>Homo sapiens biliverdin reductase B (BLVRB)</t>
  </si>
  <si>
    <t>NP_000704.1</t>
  </si>
  <si>
    <t>PH_hs_0004408</t>
  </si>
  <si>
    <t>BAD</t>
  </si>
  <si>
    <t>Homo sapiens BCL2-associated agonist of cell death (BAD)</t>
  </si>
  <si>
    <t>PH_hs_0004409</t>
  </si>
  <si>
    <t>ALDH1A1</t>
  </si>
  <si>
    <t>NP_000680.2</t>
  </si>
  <si>
    <t>PH_hs_0004410</t>
  </si>
  <si>
    <t>ECHS1</t>
  </si>
  <si>
    <t>NP_004083.3</t>
  </si>
  <si>
    <t>ENST00000368547</t>
  </si>
  <si>
    <t>ENSP00000357535</t>
  </si>
  <si>
    <t>ITIH4</t>
  </si>
  <si>
    <t>PH_hs_0004414</t>
  </si>
  <si>
    <t>SLC38A3</t>
  </si>
  <si>
    <t>NP_006832.1</t>
  </si>
  <si>
    <t>PH_hs_0004423</t>
  </si>
  <si>
    <t>RGCC</t>
  </si>
  <si>
    <t>Homo sapiens regulator of cell cycle (RGCC)</t>
  </si>
  <si>
    <t>NP_054778.2</t>
  </si>
  <si>
    <t>ENSP00000368664</t>
  </si>
  <si>
    <t>PH_hs_0004426</t>
  </si>
  <si>
    <t>LSM4</t>
  </si>
  <si>
    <t>PH_hs_0004429</t>
  </si>
  <si>
    <t>ABCD3</t>
  </si>
  <si>
    <t>NP_002849.1</t>
  </si>
  <si>
    <t>SNCA</t>
  </si>
  <si>
    <t>PH_hs_0004444</t>
  </si>
  <si>
    <t>PSMB6</t>
  </si>
  <si>
    <t>GNAI2</t>
  </si>
  <si>
    <t>PH_hs_0004456</t>
  </si>
  <si>
    <t>PAFAH1B1</t>
  </si>
  <si>
    <t>NP_000421.1</t>
  </si>
  <si>
    <t>PH_hs_0004464</t>
  </si>
  <si>
    <t>PRKAR2B</t>
  </si>
  <si>
    <t>NP_002727.2</t>
  </si>
  <si>
    <t>ENSP00000265717</t>
  </si>
  <si>
    <t>ALDH4A1</t>
  </si>
  <si>
    <t>PH_hs_0004472</t>
  </si>
  <si>
    <t>KANK1</t>
  </si>
  <si>
    <t>Homo sapiens KN motif and ankyrin repeat domains 1 (KANK1)</t>
  </si>
  <si>
    <t>PH_hs_0004473</t>
  </si>
  <si>
    <t>HMGN3</t>
  </si>
  <si>
    <t>Homo sapiens high mobility group nucleosomal binding domain 3 (HMGN3)</t>
  </si>
  <si>
    <t>PH_hs_0004476</t>
  </si>
  <si>
    <t>ATR</t>
  </si>
  <si>
    <t>Homo sapiens ATR serine/threonine kinase (ATR)</t>
  </si>
  <si>
    <t>NP_001175.2</t>
  </si>
  <si>
    <t>PH_hs_0004479</t>
  </si>
  <si>
    <t>PXK</t>
  </si>
  <si>
    <t>Homo sapiens PX domain containing serine/threonine kinase (PXK)</t>
  </si>
  <si>
    <t>NP_060241.2</t>
  </si>
  <si>
    <t>PH_hs_0004483</t>
  </si>
  <si>
    <t>DLGAP5</t>
  </si>
  <si>
    <t>PH_hs_0004490</t>
  </si>
  <si>
    <t>HARS</t>
  </si>
  <si>
    <t>Homo sapiens histidyl-tRNA synthetase (HARS)</t>
  </si>
  <si>
    <t>PH_hs_0004493</t>
  </si>
  <si>
    <t>RGN</t>
  </si>
  <si>
    <t>Homo sapiens regucalcin (RGN)</t>
  </si>
  <si>
    <t>SF3A3</t>
  </si>
  <si>
    <t>NP_006793.1</t>
  </si>
  <si>
    <t>ENSP00000362110</t>
  </si>
  <si>
    <t>PH_hs_0004505</t>
  </si>
  <si>
    <t>ACD</t>
  </si>
  <si>
    <t>Homo sapiens adrenocortical dysplasia homolog (mouse)</t>
  </si>
  <si>
    <t>PH_hs_0004512</t>
  </si>
  <si>
    <t>ATP6V1F</t>
  </si>
  <si>
    <t>PH_hs_0004523</t>
  </si>
  <si>
    <t>MYOC</t>
  </si>
  <si>
    <t>NP_000252.1</t>
  </si>
  <si>
    <t>PH_hs_0004535</t>
  </si>
  <si>
    <t>C1QBP</t>
  </si>
  <si>
    <t>NP_001203.1</t>
  </si>
  <si>
    <t>PH_hs_0004541</t>
  </si>
  <si>
    <t>THOP1</t>
  </si>
  <si>
    <t>Homo sapiens thimet oligopeptidase 1 (THOP1)</t>
  </si>
  <si>
    <t>NP_003240.1</t>
  </si>
  <si>
    <t>PH_hs_0004549</t>
  </si>
  <si>
    <t>ILVBL</t>
  </si>
  <si>
    <t>Homo sapiens ilvB (bacterial acetolactate synthase)</t>
  </si>
  <si>
    <t>NP_006835.2</t>
  </si>
  <si>
    <t>PH_hs_0004552</t>
  </si>
  <si>
    <t>XK</t>
  </si>
  <si>
    <t>Homo sapiens X-linked Kx blood group (XK)</t>
  </si>
  <si>
    <t>NP_066569.1</t>
  </si>
  <si>
    <t>ENST00000378616</t>
  </si>
  <si>
    <t>ENSP00000367879</t>
  </si>
  <si>
    <t>PH_hs_0004554</t>
  </si>
  <si>
    <t>RGS2</t>
  </si>
  <si>
    <t>Homo sapiens regulator of G-protein signaling 2 (RGS2)</t>
  </si>
  <si>
    <t>NP_002914.1</t>
  </si>
  <si>
    <t>ENSP00000235382</t>
  </si>
  <si>
    <t>PH_hs_0004561</t>
  </si>
  <si>
    <t>GEM</t>
  </si>
  <si>
    <t>Homo sapiens GTP binding protein overexpressed in skeletal muscle (GEM)</t>
  </si>
  <si>
    <t>PH_hs_0004572</t>
  </si>
  <si>
    <t>NCL</t>
  </si>
  <si>
    <t>Homo sapiens nucleolin (NCL)</t>
  </si>
  <si>
    <t>NP_005372.2</t>
  </si>
  <si>
    <t>SLC39A6</t>
  </si>
  <si>
    <t>PH_hs_0004590</t>
  </si>
  <si>
    <t>BBS9</t>
  </si>
  <si>
    <t>Homo sapiens Bardet-Biedl syndrome 9 (BBS9)</t>
  </si>
  <si>
    <t>PH_hs_0004598</t>
  </si>
  <si>
    <t>NELL2</t>
  </si>
  <si>
    <t>Homo sapiens NEL-like 2 (chicken)</t>
  </si>
  <si>
    <t>PPDPF</t>
  </si>
  <si>
    <t>Homo sapiens pancreatic progenitor cell differentiation and proliferation factor (PPDPF)</t>
  </si>
  <si>
    <t>NP_077275.1</t>
  </si>
  <si>
    <t>PH_hs_0004623</t>
  </si>
  <si>
    <t>PCP4</t>
  </si>
  <si>
    <t>Homo sapiens Purkinje cell protein 4 (PCP4)</t>
  </si>
  <si>
    <t>NP_006189.2</t>
  </si>
  <si>
    <t>PH_hs_0004661</t>
  </si>
  <si>
    <t>S100A4</t>
  </si>
  <si>
    <t>Homo sapiens S100 calcium binding protein A4 (S100A4)</t>
  </si>
  <si>
    <t>PH_hs_0004675</t>
  </si>
  <si>
    <t>RAD21</t>
  </si>
  <si>
    <t>Homo sapiens RAD21 homolog (S. pombe)</t>
  </si>
  <si>
    <t>NP_006256.1</t>
  </si>
  <si>
    <t>PH_hs_0004676</t>
  </si>
  <si>
    <t>MGST2</t>
  </si>
  <si>
    <t>Homo sapiens microsomal glutathione S-transferase 2 (MGST2)</t>
  </si>
  <si>
    <t>PH_hs_0004680</t>
  </si>
  <si>
    <t>KIAA0101</t>
  </si>
  <si>
    <t>Homo sapiens KIAA0101 (KIAA0101)</t>
  </si>
  <si>
    <t>NP_055551.1</t>
  </si>
  <si>
    <t>PH_hs_0004689</t>
  </si>
  <si>
    <t>MDK</t>
  </si>
  <si>
    <t>Homo sapiens midkine (neurite growth-promoting factor 2)</t>
  </si>
  <si>
    <t>PH_hs_0004696</t>
  </si>
  <si>
    <t>NR4A2</t>
  </si>
  <si>
    <t>NP_006177.1</t>
  </si>
  <si>
    <t>PH_hs_0004700</t>
  </si>
  <si>
    <t>PSMA1</t>
  </si>
  <si>
    <t>PH_hs_0004712</t>
  </si>
  <si>
    <t>HS6ST2</t>
  </si>
  <si>
    <t>Homo sapiens heparan sulfate 6-O-sulfotransferase 2 (HS6ST2)</t>
  </si>
  <si>
    <t>PH_hs_0004714</t>
  </si>
  <si>
    <t>FAM175B</t>
  </si>
  <si>
    <t>NP_115558.3</t>
  </si>
  <si>
    <t>ENST00000298492</t>
  </si>
  <si>
    <t>ENSP00000298492</t>
  </si>
  <si>
    <t>PH_hs_0004717</t>
  </si>
  <si>
    <t>FAS</t>
  </si>
  <si>
    <t>Homo sapiens Fas cell surface death receptor (FAS)</t>
  </si>
  <si>
    <t>PH_hs_0004718</t>
  </si>
  <si>
    <t>MRPL48</t>
  </si>
  <si>
    <t>Homo sapiens mitochondrial ribosomal protein L48 (MRPL48)</t>
  </si>
  <si>
    <t>NP_057139.1</t>
  </si>
  <si>
    <t>Homo sapiens capping protein (actin filament)</t>
  </si>
  <si>
    <t>PH_hs_0004725</t>
  </si>
  <si>
    <t>CCDC106</t>
  </si>
  <si>
    <t>Homo sapiens coiled-coil domain containing 106 (CCDC106)</t>
  </si>
  <si>
    <t>NP_037433.2</t>
  </si>
  <si>
    <t>PH_hs_0004731</t>
  </si>
  <si>
    <t>CYP27A1</t>
  </si>
  <si>
    <t>NP_000775.1</t>
  </si>
  <si>
    <t>PH_hs_0004736</t>
  </si>
  <si>
    <t>VRK2</t>
  </si>
  <si>
    <t>Homo sapiens vaccinia related kinase 2 (VRK2)</t>
  </si>
  <si>
    <t>CETN2</t>
  </si>
  <si>
    <t>NP_004335.1</t>
  </si>
  <si>
    <t>ENSP00000359300</t>
  </si>
  <si>
    <t>DAD1</t>
  </si>
  <si>
    <t>Homo sapiens defender against cell death 1 (DAD1)</t>
  </si>
  <si>
    <t>NP_001335.1</t>
  </si>
  <si>
    <t>PH_hs_0004747</t>
  </si>
  <si>
    <t>MRPS33</t>
  </si>
  <si>
    <t>Homo sapiens mitochondrial ribosomal protein S33 (MRPS33)</t>
  </si>
  <si>
    <t>PH_hs_0004750</t>
  </si>
  <si>
    <t>GNL1</t>
  </si>
  <si>
    <t>Homo sapiens guanine nucleotide binding protein-like 1 (GNL1)</t>
  </si>
  <si>
    <t>NP_005266.2</t>
  </si>
  <si>
    <t>PH_hs_0004759</t>
  </si>
  <si>
    <t>AAMP</t>
  </si>
  <si>
    <t>NP_001078.2</t>
  </si>
  <si>
    <t>PH_hs_0004760</t>
  </si>
  <si>
    <t>LOXL2</t>
  </si>
  <si>
    <t>Homo sapiens lysyl oxidase-like 2 (LOXL2)</t>
  </si>
  <si>
    <t>NP_002309.1</t>
  </si>
  <si>
    <t>PH_hs_0004762</t>
  </si>
  <si>
    <t>PRDX4</t>
  </si>
  <si>
    <t>Homo sapiens peroxiredoxin 4 (PRDX4)</t>
  </si>
  <si>
    <t>NP_006397.1</t>
  </si>
  <si>
    <t>PH_hs_0004767</t>
  </si>
  <si>
    <t>CD46</t>
  </si>
  <si>
    <t>PH_hs_0004776</t>
  </si>
  <si>
    <t>CKS2</t>
  </si>
  <si>
    <t>Homo sapiens CDC28 protein kinase regulatory subunit 2 (CKS2)</t>
  </si>
  <si>
    <t>NP_001818.1</t>
  </si>
  <si>
    <t>ENST00000314355</t>
  </si>
  <si>
    <t>ENSP00000364976</t>
  </si>
  <si>
    <t>PH_hs_0004786</t>
  </si>
  <si>
    <t>EFR3A</t>
  </si>
  <si>
    <t>Homo sapiens EFR3 homolog A (S. cerevisiae)</t>
  </si>
  <si>
    <t>NP_055952.2</t>
  </si>
  <si>
    <t>PH_hs_0004788</t>
  </si>
  <si>
    <t>CHCHD6</t>
  </si>
  <si>
    <t>Homo sapiens coiled-coil-helix-coiled-coil-helix domain containing 6 (CHCHD6)</t>
  </si>
  <si>
    <t>NP_115719.1</t>
  </si>
  <si>
    <t>PH_hs_0004800</t>
  </si>
  <si>
    <t>NDUFC1</t>
  </si>
  <si>
    <t>PH_hs_0004809</t>
  </si>
  <si>
    <t>CENPB</t>
  </si>
  <si>
    <t>NP_001801.1</t>
  </si>
  <si>
    <t>ENST00000379751</t>
  </si>
  <si>
    <t>ENSP00000369075</t>
  </si>
  <si>
    <t>PH_hs_0004811</t>
  </si>
  <si>
    <t>LOC145474</t>
  </si>
  <si>
    <t>Homo sapiens uncharacterized LOC145474 (LOC145474)</t>
  </si>
  <si>
    <t>MLF1</t>
  </si>
  <si>
    <t>Homo sapiens myeloid leukemia factor 1 (MLF1)</t>
  </si>
  <si>
    <t>PH_hs_0004820</t>
  </si>
  <si>
    <t>ITGB4</t>
  </si>
  <si>
    <t>USP13</t>
  </si>
  <si>
    <t>Homo sapiens ubiquitin specific peptidase 13 (isopeptidase T-3)</t>
  </si>
  <si>
    <t>NP_003931.2</t>
  </si>
  <si>
    <t>PH_hs_0004825</t>
  </si>
  <si>
    <t>ATP5I</t>
  </si>
  <si>
    <t>ENSP00000306003</t>
  </si>
  <si>
    <t>PH_hs_0004827</t>
  </si>
  <si>
    <t>SUV39H2</t>
  </si>
  <si>
    <t>Homo sapiens suppressor of variegation 3-9 homolog 2 (Drosophila)</t>
  </si>
  <si>
    <t>FAM126A</t>
  </si>
  <si>
    <t>NP_115970.2</t>
  </si>
  <si>
    <t>PH_hs_0004842</t>
  </si>
  <si>
    <t>XPOT</t>
  </si>
  <si>
    <t>NP_009166.2</t>
  </si>
  <si>
    <t>DCAF10</t>
  </si>
  <si>
    <t>Homo sapiens DDB1 and CUL4 associated factor 10 (DCAF10)</t>
  </si>
  <si>
    <t>NP_077321.3</t>
  </si>
  <si>
    <t>FAM120C</t>
  </si>
  <si>
    <t>Homo sapiens family with sequence similarity 120C (FAM120C)</t>
  </si>
  <si>
    <t>PH_hs_0004855</t>
  </si>
  <si>
    <t>PRRX2</t>
  </si>
  <si>
    <t>Homo sapiens paired related homeobox 2 (PRRX2)</t>
  </si>
  <si>
    <t>NP_057391.1</t>
  </si>
  <si>
    <t>ENST00000372469</t>
  </si>
  <si>
    <t>ENSP00000361547</t>
  </si>
  <si>
    <t>PH_hs_0004858</t>
  </si>
  <si>
    <t>STXBP5</t>
  </si>
  <si>
    <t>Homo sapiens syntaxin binding protein 5 (tomosyn)</t>
  </si>
  <si>
    <t>PH_hs_0004861</t>
  </si>
  <si>
    <t>MCL1</t>
  </si>
  <si>
    <t>Homo sapiens myeloid cell leukemia 1 (MCL1)</t>
  </si>
  <si>
    <t>PH_hs_0004880</t>
  </si>
  <si>
    <t>ATP6V1C1</t>
  </si>
  <si>
    <t>NP_001686.1</t>
  </si>
  <si>
    <t>NFAT5</t>
  </si>
  <si>
    <t>PH_hs_0004894</t>
  </si>
  <si>
    <t>CAB39L</t>
  </si>
  <si>
    <t>Homo sapiens calcium binding protein 39-like (CAB39L)</t>
  </si>
  <si>
    <t>BMPR1B</t>
  </si>
  <si>
    <t>PH_hs_0004912</t>
  </si>
  <si>
    <t>MALSU1</t>
  </si>
  <si>
    <t>Homo sapiens mitochondrial assembly of ribosomal large subunit 1 (MALSU1)</t>
  </si>
  <si>
    <t>NP_612455.1</t>
  </si>
  <si>
    <t>ENSP00000419370</t>
  </si>
  <si>
    <t>PH_hs_0004923</t>
  </si>
  <si>
    <t>DFNB59</t>
  </si>
  <si>
    <t>NP_001036167.1</t>
  </si>
  <si>
    <t>PH_hs_0004933</t>
  </si>
  <si>
    <t>PH_hs_0004943</t>
  </si>
  <si>
    <t>ATP11C</t>
  </si>
  <si>
    <t>PH_hs_0004987</t>
  </si>
  <si>
    <t>CA4</t>
  </si>
  <si>
    <t>Homo sapiens carbonic anhydrase IV (CA4)</t>
  </si>
  <si>
    <t>NP_000708.1</t>
  </si>
  <si>
    <t>PH_hs_0004991</t>
  </si>
  <si>
    <t>OTUD4</t>
  </si>
  <si>
    <t>Homo sapiens OTU deubiquitinase 4 (OTUD4)</t>
  </si>
  <si>
    <t>NP_001096123.1</t>
  </si>
  <si>
    <t>MUC1</t>
  </si>
  <si>
    <t>PTHLH</t>
  </si>
  <si>
    <t>Homo sapiens parathyroid hormone-like hormone (PTHLH)</t>
  </si>
  <si>
    <t>PH_hs_0005012</t>
  </si>
  <si>
    <t>TAF10</t>
  </si>
  <si>
    <t>NP_006275.1</t>
  </si>
  <si>
    <t>PH_hs_0005035</t>
  </si>
  <si>
    <t>HSPA4</t>
  </si>
  <si>
    <t>Homo sapiens heat shock 70kDa protein 4 (HSPA4)</t>
  </si>
  <si>
    <t>NP_002145.3</t>
  </si>
  <si>
    <t>PH_hs_0005044</t>
  </si>
  <si>
    <t>WDR43</t>
  </si>
  <si>
    <t>Homo sapiens WD repeat domain 43 (WDR43)</t>
  </si>
  <si>
    <t>NP_055946.1</t>
  </si>
  <si>
    <t>PH_hs_0005045</t>
  </si>
  <si>
    <t>MYL6B</t>
  </si>
  <si>
    <t>PH_hs_0005046</t>
  </si>
  <si>
    <t>ATP6V1G1</t>
  </si>
  <si>
    <t>NP_004879.1</t>
  </si>
  <si>
    <t>ENSP00000363162</t>
  </si>
  <si>
    <t>PH_hs_0005049</t>
  </si>
  <si>
    <t>NDUFS8</t>
  </si>
  <si>
    <t>NP_002487.1</t>
  </si>
  <si>
    <t>PH_hs_0005062</t>
  </si>
  <si>
    <t>RYR2</t>
  </si>
  <si>
    <t>Homo sapiens ryanodine receptor 2 (cardiac)</t>
  </si>
  <si>
    <t>NP_001026.2</t>
  </si>
  <si>
    <t>PH_hs_0005077</t>
  </si>
  <si>
    <t>PARG</t>
  </si>
  <si>
    <t>NP_003622.2</t>
  </si>
  <si>
    <t>PH_hs_0005085</t>
  </si>
  <si>
    <t>ALKBH8</t>
  </si>
  <si>
    <t>NP_620130.2</t>
  </si>
  <si>
    <t>PDK2</t>
  </si>
  <si>
    <t>PH_hs_0005114</t>
  </si>
  <si>
    <t>PITX2</t>
  </si>
  <si>
    <t>Homo sapiens paired-like homeodomain 2 (PITX2)</t>
  </si>
  <si>
    <t>PH_hs_0005116</t>
  </si>
  <si>
    <t>CCNT1</t>
  </si>
  <si>
    <t>Homo sapiens cyclin T1 (CCNT1)</t>
  </si>
  <si>
    <t>NP_001231.2</t>
  </si>
  <si>
    <t>UBE2C</t>
  </si>
  <si>
    <t>Homo sapiens ubiquitin-conjugating enzyme E2C (UBE2C)</t>
  </si>
  <si>
    <t>NF1</t>
  </si>
  <si>
    <t>Homo sapiens neurofibromin 1 (NF1)</t>
  </si>
  <si>
    <t>PH_hs_0005135</t>
  </si>
  <si>
    <t>UQCC2</t>
  </si>
  <si>
    <t>Homo sapiens ubiquinol-cytochrome c reductase complex assembly factor 2 (UQCC2)</t>
  </si>
  <si>
    <t>NP_115716.1</t>
  </si>
  <si>
    <t>PH_hs_0005157</t>
  </si>
  <si>
    <t>STARD4</t>
  </si>
  <si>
    <t>Homo sapiens StAR-related lipid transfer (START)</t>
  </si>
  <si>
    <t>NP_631903.1</t>
  </si>
  <si>
    <t>PH_hs_0005166</t>
  </si>
  <si>
    <t>NKAIN2</t>
  </si>
  <si>
    <t>Homo sapiens Na+/K+ transporting ATPase interacting 2 (NKAIN2)</t>
  </si>
  <si>
    <t>PH_hs_0005174</t>
  </si>
  <si>
    <t>ZNF580</t>
  </si>
  <si>
    <t>Homo sapiens zinc finger protein 580 (ZNF580)</t>
  </si>
  <si>
    <t>PH_hs_0005179</t>
  </si>
  <si>
    <t>BLOC1S1|BLOC1S1-RDH5</t>
  </si>
  <si>
    <t>2647|100528022</t>
  </si>
  <si>
    <t>PH_hs_0005180</t>
  </si>
  <si>
    <t>IFI27L2</t>
  </si>
  <si>
    <t>NP_114425.1</t>
  </si>
  <si>
    <t>PH_hs_0005181</t>
  </si>
  <si>
    <t>RAB23</t>
  </si>
  <si>
    <t>Homo sapiens l(3)</t>
  </si>
  <si>
    <t>PH_hs_0005200</t>
  </si>
  <si>
    <t>OXSR1</t>
  </si>
  <si>
    <t>Homo sapiens oxidative stress responsive 1 (OXSR1)</t>
  </si>
  <si>
    <t>NP_005100.1</t>
  </si>
  <si>
    <t>PH_hs_0005204</t>
  </si>
  <si>
    <t>UBE2Q2</t>
  </si>
  <si>
    <t>Homo sapiens ubiquitin-conjugating enzyme E2Q family member 2 (UBE2Q2)</t>
  </si>
  <si>
    <t>Homo sapiens solute carrier family 2 (facilitated glucose transporter)</t>
  </si>
  <si>
    <t>PH_hs_0005213</t>
  </si>
  <si>
    <t>CPVL</t>
  </si>
  <si>
    <t>PH_hs_0005214</t>
  </si>
  <si>
    <t>TBC1D31</t>
  </si>
  <si>
    <t>PH_hs_0005218</t>
  </si>
  <si>
    <t>OCIAD2</t>
  </si>
  <si>
    <t>Homo sapiens OCIA domain containing 2 (OCIAD2)</t>
  </si>
  <si>
    <t>PH_hs_0005231</t>
  </si>
  <si>
    <t>TSNAX</t>
  </si>
  <si>
    <t>Homo sapiens translin-associated factor X (TSNAX)</t>
  </si>
  <si>
    <t>NP_005990.1</t>
  </si>
  <si>
    <t>USP40</t>
  </si>
  <si>
    <t>Homo sapiens ubiquitin specific peptidase 40 (USP40)</t>
  </si>
  <si>
    <t>NP_060688.1</t>
  </si>
  <si>
    <t>PH_hs_0005303</t>
  </si>
  <si>
    <t>RNF17</t>
  </si>
  <si>
    <t>Homo sapiens ring finger protein 17 (RNF17)</t>
  </si>
  <si>
    <t>SLX4</t>
  </si>
  <si>
    <t>Homo sapiens SLX4 structure-specific endonuclease subunit (SLX4)</t>
  </si>
  <si>
    <t>NP_115820.2</t>
  </si>
  <si>
    <t>ENSP00000294008</t>
  </si>
  <si>
    <t>PH_hs_0005394</t>
  </si>
  <si>
    <t>C12orf54</t>
  </si>
  <si>
    <t>Homo sapiens chromosome 12 open reading frame 54 (C12orf54)</t>
  </si>
  <si>
    <t>NP_689532.1</t>
  </si>
  <si>
    <t>PH_hs_0005397</t>
  </si>
  <si>
    <t>SPINK2</t>
  </si>
  <si>
    <t>ST6GAL2</t>
  </si>
  <si>
    <t>PH_hs_0005410</t>
  </si>
  <si>
    <t>BVES-AS1</t>
  </si>
  <si>
    <t>Homo sapiens BVES antisense RNA 1 (BVES-AS1)</t>
  </si>
  <si>
    <t>CCDC93</t>
  </si>
  <si>
    <t>Homo sapiens coiled-coil domain containing 93 (CCDC93)</t>
  </si>
  <si>
    <t>NP_061917.3</t>
  </si>
  <si>
    <t>PH_hs_0005417</t>
  </si>
  <si>
    <t>PTGR2</t>
  </si>
  <si>
    <t>Homo sapiens prostaglandin reductase 2 (PTGR2)</t>
  </si>
  <si>
    <t>TRUB2</t>
  </si>
  <si>
    <t>NP_056494.1</t>
  </si>
  <si>
    <t>ENSP00000361982</t>
  </si>
  <si>
    <t>PH_hs_0005443</t>
  </si>
  <si>
    <t>CCDC88B</t>
  </si>
  <si>
    <t>Homo sapiens coiled-coil domain containing 88B (CCDC88B)</t>
  </si>
  <si>
    <t>NP_115627.6</t>
  </si>
  <si>
    <t>PH_hs_0005461</t>
  </si>
  <si>
    <t>PUS3</t>
  </si>
  <si>
    <t>Homo sapiens pseudouridylate synthase 3 (PUS3)</t>
  </si>
  <si>
    <t>PH_hs_0005473</t>
  </si>
  <si>
    <t>RCOR2</t>
  </si>
  <si>
    <t>Homo sapiens REST corepressor 2 (RCOR2)</t>
  </si>
  <si>
    <t>NP_775858.2</t>
  </si>
  <si>
    <t>ENSP00000301459</t>
  </si>
  <si>
    <t>PH_hs_0005517</t>
  </si>
  <si>
    <t>NPFFR2</t>
  </si>
  <si>
    <t>Homo sapiens neuropeptide FF receptor 2 (NPFFR2)</t>
  </si>
  <si>
    <t>PH_hs_0005551</t>
  </si>
  <si>
    <t>C2orf76</t>
  </si>
  <si>
    <t>Homo sapiens chromosome 2 open reading frame 76 (C2orf76)</t>
  </si>
  <si>
    <t>NP_001017927.2</t>
  </si>
  <si>
    <t>PH_hs_0005575</t>
  </si>
  <si>
    <t>FBL</t>
  </si>
  <si>
    <t>Homo sapiens fibrillarin (FBL)</t>
  </si>
  <si>
    <t>NP_001427.2</t>
  </si>
  <si>
    <t>PH_hs_0005580</t>
  </si>
  <si>
    <t>CD70</t>
  </si>
  <si>
    <t>Homo sapiens CD70 molecule (CD70)</t>
  </si>
  <si>
    <t>NP_001243.1</t>
  </si>
  <si>
    <t>PH_hs_0005583</t>
  </si>
  <si>
    <t>AR</t>
  </si>
  <si>
    <t>Homo sapiens androgen receptor (AR)</t>
  </si>
  <si>
    <t>MLLT4</t>
  </si>
  <si>
    <t>PH_hs_0005662</t>
  </si>
  <si>
    <t>RBP1</t>
  </si>
  <si>
    <t>NP_002890.2</t>
  </si>
  <si>
    <t>PH_hs_0005668</t>
  </si>
  <si>
    <t>TULP4</t>
  </si>
  <si>
    <t>Homo sapiens tubby like protein 4 (TULP4)</t>
  </si>
  <si>
    <t>PH_hs_0005671</t>
  </si>
  <si>
    <t>LOX</t>
  </si>
  <si>
    <t>Homo sapiens lysyl oxidase (LOX)</t>
  </si>
  <si>
    <t>PH_hs_0005673</t>
  </si>
  <si>
    <t>KCNJ8</t>
  </si>
  <si>
    <t>NP_004973.1</t>
  </si>
  <si>
    <t>PH_hs_0005675</t>
  </si>
  <si>
    <t>PRR5</t>
  </si>
  <si>
    <t>Homo sapiens proline rich 5 (renal)</t>
  </si>
  <si>
    <t>PH_hs_0005686</t>
  </si>
  <si>
    <t>ARHGAP35</t>
  </si>
  <si>
    <t>Homo sapiens Rho GTPase activating protein 35 (ARHGAP35)</t>
  </si>
  <si>
    <t>NP_004482.4</t>
  </si>
  <si>
    <t>PH_hs_0005694</t>
  </si>
  <si>
    <t>ARMC8</t>
  </si>
  <si>
    <t>Homo sapiens armadillo repeat containing 8 (ARMC8)</t>
  </si>
  <si>
    <t>UQCC3</t>
  </si>
  <si>
    <t>Homo sapiens ubiquinol-cytochrome c reductase complex assembly factor 3 (UQCC3)</t>
  </si>
  <si>
    <t>NP_001078841.1</t>
  </si>
  <si>
    <t>PH_hs_0005717</t>
  </si>
  <si>
    <t>MAP1B</t>
  </si>
  <si>
    <t>Homo sapiens microtubule-associated protein 1B (MAP1B)</t>
  </si>
  <si>
    <t>NP_005900.2</t>
  </si>
  <si>
    <t>PH_hs_0005724</t>
  </si>
  <si>
    <t>LHX6</t>
  </si>
  <si>
    <t>Homo sapiens LIM homeobox 6 (LHX6)</t>
  </si>
  <si>
    <t>PH_hs_0005744</t>
  </si>
  <si>
    <t>L3MBTL3</t>
  </si>
  <si>
    <t>PH_hs_0005786</t>
  </si>
  <si>
    <t>SHOC2</t>
  </si>
  <si>
    <t>Homo sapiens soc-2 suppressor of clear homolog (C. elegans)</t>
  </si>
  <si>
    <t>PH_hs_0005801</t>
  </si>
  <si>
    <t>KLK8</t>
  </si>
  <si>
    <t>Homo sapiens kallikrein-related peptidase 8 (KLK8)</t>
  </si>
  <si>
    <t>PH_hs_0005803</t>
  </si>
  <si>
    <t>CHST1</t>
  </si>
  <si>
    <t>Homo sapiens carbohydrate (keratan sulfate Gal-6)</t>
  </si>
  <si>
    <t>NP_003645.1</t>
  </si>
  <si>
    <t>ENSP00000309270</t>
  </si>
  <si>
    <t>PH_hs_0005831</t>
  </si>
  <si>
    <t>ENC1</t>
  </si>
  <si>
    <t>Homo sapiens ectodermal-neural cortex 1 (with BTB domain)</t>
  </si>
  <si>
    <t>PH_hs_0005869</t>
  </si>
  <si>
    <t>TMEM160</t>
  </si>
  <si>
    <t>Homo sapiens transmembrane protein 160 (TMEM160)</t>
  </si>
  <si>
    <t>NP_060324.1</t>
  </si>
  <si>
    <t>ENST00000253047</t>
  </si>
  <si>
    <t>ENSP00000253047</t>
  </si>
  <si>
    <t>PH_hs_0005906</t>
  </si>
  <si>
    <t>CDKN1C</t>
  </si>
  <si>
    <t>KLHL20</t>
  </si>
  <si>
    <t>Homo sapiens kelch-like family member 20 (KLHL20)</t>
  </si>
  <si>
    <t>NP_055273.2</t>
  </si>
  <si>
    <t>ENSP00000209884</t>
  </si>
  <si>
    <t>PH_hs_0005933</t>
  </si>
  <si>
    <t>BRINP3</t>
  </si>
  <si>
    <t>Homo sapiens bone morphogenetic protein/retinoic acid inducible neural-specific 3 (BRINP3)</t>
  </si>
  <si>
    <t>NP_950252.1</t>
  </si>
  <si>
    <t>PH_hs_0005939</t>
  </si>
  <si>
    <t>ATP2C1</t>
  </si>
  <si>
    <t>PH_hs_0005942</t>
  </si>
  <si>
    <t>CALB2</t>
  </si>
  <si>
    <t>Homo sapiens calbindin 2 (CALB2)</t>
  </si>
  <si>
    <t>PH_hs_0005958</t>
  </si>
  <si>
    <t>CUTA</t>
  </si>
  <si>
    <t>Homo sapiens cutA divalent cation tolerance homolog (E. coli)</t>
  </si>
  <si>
    <t>PH_hs_0005968</t>
  </si>
  <si>
    <t>NAB1</t>
  </si>
  <si>
    <t>Homo sapiens NGFI-A binding protein 1 (EGR1 binding protein 1)</t>
  </si>
  <si>
    <t>NP_005957.2</t>
  </si>
  <si>
    <t>PH_hs_0005969</t>
  </si>
  <si>
    <t>ATP5L</t>
  </si>
  <si>
    <t>PH_hs_0005974</t>
  </si>
  <si>
    <t>C4orf19</t>
  </si>
  <si>
    <t>Homo sapiens chromosome 4 open reading frame 19 (C4orf19)</t>
  </si>
  <si>
    <t>SRFBP1</t>
  </si>
  <si>
    <t>Homo sapiens serum response factor binding protein 1 (SRFBP1)</t>
  </si>
  <si>
    <t>NP_689759.2</t>
  </si>
  <si>
    <t>ENSP00000341324</t>
  </si>
  <si>
    <t>PH_hs_0005984</t>
  </si>
  <si>
    <t>MOB4|HSPE1-MOB4</t>
  </si>
  <si>
    <t>25843|100529241</t>
  </si>
  <si>
    <t>ENSG00000115540|ENSG00000270757</t>
  </si>
  <si>
    <t>PH_hs_0006005</t>
  </si>
  <si>
    <t>HAAO</t>
  </si>
  <si>
    <t>NP_036337.2</t>
  </si>
  <si>
    <t>PH_hs_0006023</t>
  </si>
  <si>
    <t>RPS27L</t>
  </si>
  <si>
    <t>Homo sapiens ribosomal protein S27-like (RPS27L)</t>
  </si>
  <si>
    <t>NP_057004.1</t>
  </si>
  <si>
    <t>PH_hs_0006025</t>
  </si>
  <si>
    <t>WDR83OS</t>
  </si>
  <si>
    <t>Homo sapiens WD repeat domain 83 opposite strand (WDR83OS)</t>
  </si>
  <si>
    <t>NP_057229.1</t>
  </si>
  <si>
    <t>PH_hs_0006026</t>
  </si>
  <si>
    <t>DPM2</t>
  </si>
  <si>
    <t>NP_003854.1</t>
  </si>
  <si>
    <t>PH_hs_0006028</t>
  </si>
  <si>
    <t>C14orf2</t>
  </si>
  <si>
    <t>Homo sapiens chromosome 14 open reading frame 2 (C14orf2)</t>
  </si>
  <si>
    <t>PH_hs_0006032</t>
  </si>
  <si>
    <t>MPP5</t>
  </si>
  <si>
    <t>PH_hs_0006038</t>
  </si>
  <si>
    <t>KCTD12</t>
  </si>
  <si>
    <t>Homo sapiens potassium channel tetramerization domain containing 12 (KCTD12)</t>
  </si>
  <si>
    <t>NP_612453.1</t>
  </si>
  <si>
    <t>ENST00000377474</t>
  </si>
  <si>
    <t>ENSP00000366694</t>
  </si>
  <si>
    <t>PH_hs_0006045</t>
  </si>
  <si>
    <t>NENF</t>
  </si>
  <si>
    <t>Homo sapiens neudesin neurotrophic factor (NENF)</t>
  </si>
  <si>
    <t>ENSP00000355955</t>
  </si>
  <si>
    <t>PH_hs_0006049</t>
  </si>
  <si>
    <t>NDUFB6</t>
  </si>
  <si>
    <t>PH_hs_0006053</t>
  </si>
  <si>
    <t>TAB2</t>
  </si>
  <si>
    <t>Homo sapiens TGF-beta activated kinase 1/MAP3K7 binding protein 2 (TAB2)</t>
  </si>
  <si>
    <t>NP_055908.1</t>
  </si>
  <si>
    <t>DNPH1</t>
  </si>
  <si>
    <t>Homo sapiens 2'-deoxynucleoside 5'-phosphate N-hydrolase 1 (DNPH1)</t>
  </si>
  <si>
    <t>PH_hs_0006056</t>
  </si>
  <si>
    <t>WDR48</t>
  </si>
  <si>
    <t>Homo sapiens WD repeat domain 48 (WDR48)</t>
  </si>
  <si>
    <t>NP_065890.1</t>
  </si>
  <si>
    <t>PH_hs_0006057</t>
  </si>
  <si>
    <t>C6orf48</t>
  </si>
  <si>
    <t>Homo sapiens chromosome 6 open reading frame 48 (C6orf48)</t>
  </si>
  <si>
    <t>PH_hs_0006063</t>
  </si>
  <si>
    <t>ITGB1BP2</t>
  </si>
  <si>
    <t>Homo sapiens integrin beta 1 binding protein (melusin)</t>
  </si>
  <si>
    <t>NP_036410.1</t>
  </si>
  <si>
    <t>PH_hs_0006070</t>
  </si>
  <si>
    <t>FAM133A</t>
  </si>
  <si>
    <t>Homo sapiens solute carrier family 52 (riboflavin transporter)</t>
  </si>
  <si>
    <t>DPM3</t>
  </si>
  <si>
    <t>Homo sapiens dolichyl-phosphate mannosyltransferase polypeptide 3 (DPM3)</t>
  </si>
  <si>
    <t>PH_hs_0006091</t>
  </si>
  <si>
    <t>SF3B5</t>
  </si>
  <si>
    <t>NP_112577.1</t>
  </si>
  <si>
    <t>ENST00000367569</t>
  </si>
  <si>
    <t>ENSP00000356541</t>
  </si>
  <si>
    <t>PH_hs_0006105</t>
  </si>
  <si>
    <t>ALKBH7</t>
  </si>
  <si>
    <t>NP_115682.1</t>
  </si>
  <si>
    <t>PH_hs_0006112</t>
  </si>
  <si>
    <t>MRPS11</t>
  </si>
  <si>
    <t>Homo sapiens mitochondrial ribosomal protein S11 (MRPS11)</t>
  </si>
  <si>
    <t>NP_789775.1</t>
  </si>
  <si>
    <t>PH_hs_0006121</t>
  </si>
  <si>
    <t>ITM2C</t>
  </si>
  <si>
    <t>Homo sapiens integral membrane protein 2C (ITM2C)</t>
  </si>
  <si>
    <t>PH_hs_0006140</t>
  </si>
  <si>
    <t>SIVA1</t>
  </si>
  <si>
    <t>PH_hs_0006209</t>
  </si>
  <si>
    <t>PARD6A</t>
  </si>
  <si>
    <t>Homo sapiens par-6 family cell polarity regulator alpha (PARD6A)</t>
  </si>
  <si>
    <t>PH_hs_0006253</t>
  </si>
  <si>
    <t>CLPX</t>
  </si>
  <si>
    <t>Homo sapiens caseinolytic mitochondrial matrix peptidase chaperone subunit (CLPX)</t>
  </si>
  <si>
    <t>NP_006651.2</t>
  </si>
  <si>
    <t>PH_hs_0006308</t>
  </si>
  <si>
    <t>CRLF1</t>
  </si>
  <si>
    <t>Homo sapiens cytokine receptor-like factor 1 (CRLF1)</t>
  </si>
  <si>
    <t>NP_004741.1</t>
  </si>
  <si>
    <t>PH_hs_0006310</t>
  </si>
  <si>
    <t>ZAK</t>
  </si>
  <si>
    <t>Homo sapiens sterile alpha motif and leucine zipper containing kinase AZK (ZAK)</t>
  </si>
  <si>
    <t>NP_598407.1</t>
  </si>
  <si>
    <t>DLAT</t>
  </si>
  <si>
    <t>Homo sapiens dihydrolipoamide S-acetyltransferase (DLAT)</t>
  </si>
  <si>
    <t>NP_001922.2</t>
  </si>
  <si>
    <t>PH_hs_0006324</t>
  </si>
  <si>
    <t>MYH14</t>
  </si>
  <si>
    <t>Homo sapiens heparan sulfate (glucosamine)</t>
  </si>
  <si>
    <t>PH_hs_0006392</t>
  </si>
  <si>
    <t>KBTBD8</t>
  </si>
  <si>
    <t>NP_115894.2</t>
  </si>
  <si>
    <t>HDAC9</t>
  </si>
  <si>
    <t>Homo sapiens histone deacetylase 9 (HDAC9)</t>
  </si>
  <si>
    <t>PH_hs_0006406</t>
  </si>
  <si>
    <t>SLC17A8</t>
  </si>
  <si>
    <t>Homo sapiens solute carrier family 17 (vesicular glutamate transporter)</t>
  </si>
  <si>
    <t>PH_hs_0006486</t>
  </si>
  <si>
    <t>CTSA</t>
  </si>
  <si>
    <t>Homo sapiens cathepsin A (CTSA)</t>
  </si>
  <si>
    <t>DOCK4</t>
  </si>
  <si>
    <t>Homo sapiens dedicator of cytokinesis 4 (DOCK4)</t>
  </si>
  <si>
    <t>NP_055520.3</t>
  </si>
  <si>
    <t>FLAD1</t>
  </si>
  <si>
    <t>Homo sapiens flavin adenine dinucleotide synthetase 1 (FLAD1)</t>
  </si>
  <si>
    <t>PH_hs_0006554</t>
  </si>
  <si>
    <t>NCBP2-AS2</t>
  </si>
  <si>
    <t>Homo sapiens NCBP2 antisense RNA 2 (head to head)</t>
  </si>
  <si>
    <t>PH_hs_0006559</t>
  </si>
  <si>
    <t>PXDN</t>
  </si>
  <si>
    <t>Homo sapiens peroxidasin (PXDN)</t>
  </si>
  <si>
    <t>NP_036425.1</t>
  </si>
  <si>
    <t>TNFRSF10C</t>
  </si>
  <si>
    <t>NP_003832.2</t>
  </si>
  <si>
    <t>PH_hs_0006617</t>
  </si>
  <si>
    <t>NOP58</t>
  </si>
  <si>
    <t>Homo sapiens NOP58 ribonucleoprotein (NOP58)</t>
  </si>
  <si>
    <t>NP_057018.1</t>
  </si>
  <si>
    <t>PH_hs_0006620</t>
  </si>
  <si>
    <t>PHF19</t>
  </si>
  <si>
    <t>Homo sapiens PHD finger protein 19 (PHF19)</t>
  </si>
  <si>
    <t>NP_056466.1</t>
  </si>
  <si>
    <t>PH_hs_0006702</t>
  </si>
  <si>
    <t>HIST1H2AE</t>
  </si>
  <si>
    <t>NP_066390.1</t>
  </si>
  <si>
    <t>ENST00000303910</t>
  </si>
  <si>
    <t>ENSP00000303373</t>
  </si>
  <si>
    <t>PH_hs_0006739</t>
  </si>
  <si>
    <t>TMEM63C</t>
  </si>
  <si>
    <t>Homo sapiens transmembrane protein 63C (TMEM63C)</t>
  </si>
  <si>
    <t>NP_065164.2</t>
  </si>
  <si>
    <t>MTL5</t>
  </si>
  <si>
    <t>PH_hs_0006765</t>
  </si>
  <si>
    <t>AMIGO2</t>
  </si>
  <si>
    <t>Homo sapiens adhesion molecule with Ig-like domain 2 (AMIGO2)</t>
  </si>
  <si>
    <t>NP_001137140.1</t>
  </si>
  <si>
    <t>PH_hs_0006772</t>
  </si>
  <si>
    <t>FER</t>
  </si>
  <si>
    <t>Homo sapiens fer (fps/fes related)</t>
  </si>
  <si>
    <t>NP_005237.2</t>
  </si>
  <si>
    <t>RUNX2</t>
  </si>
  <si>
    <t>Homo sapiens runt-related transcription factor 2 (RUNX2)</t>
  </si>
  <si>
    <t>PH_hs_0006855</t>
  </si>
  <si>
    <t>METTL4</t>
  </si>
  <si>
    <t>Homo sapiens methyltransferase like 4 (METTL4)</t>
  </si>
  <si>
    <t>NP_073751.3</t>
  </si>
  <si>
    <t>PH_hs_0006882</t>
  </si>
  <si>
    <t>CDT1</t>
  </si>
  <si>
    <t>Homo sapiens chromatin licensing and DNA replication factor 1 (CDT1)</t>
  </si>
  <si>
    <t>NP_112190.2</t>
  </si>
  <si>
    <t>PH_hs_0006918</t>
  </si>
  <si>
    <t>SHCBP1</t>
  </si>
  <si>
    <t>Homo sapiens SHC SH2-domain binding protein 1 (SHCBP1)</t>
  </si>
  <si>
    <t>NP_079021.3</t>
  </si>
  <si>
    <t>PH_hs_0006963</t>
  </si>
  <si>
    <t>OSR1</t>
  </si>
  <si>
    <t>Homo sapiens odd-skipped related transciption factor 1 (OSR1)</t>
  </si>
  <si>
    <t>NP_660303.1</t>
  </si>
  <si>
    <t>ENSP00000272223</t>
  </si>
  <si>
    <t>PH_hs_0007071</t>
  </si>
  <si>
    <t>LINC01548</t>
  </si>
  <si>
    <t>Homo sapiens long intergenic non-protein coding RNA 1548 (LINC01548)</t>
  </si>
  <si>
    <t>ENST00000451980</t>
  </si>
  <si>
    <t>PH_hs_0007074</t>
  </si>
  <si>
    <t>LINC01364</t>
  </si>
  <si>
    <t>Homo sapiens long intergenic non-protein coding RNA 1364 (LINC01364)</t>
  </si>
  <si>
    <t>ENST00000452509</t>
  </si>
  <si>
    <t>PH_hs_0007119</t>
  </si>
  <si>
    <t>FAM92B</t>
  </si>
  <si>
    <t>NP_940893.1</t>
  </si>
  <si>
    <t>PH_hs_0007122</t>
  </si>
  <si>
    <t>KERA</t>
  </si>
  <si>
    <t>Homo sapiens keratocan (KERA)</t>
  </si>
  <si>
    <t>NP_008966.1</t>
  </si>
  <si>
    <t>ENST00000266719</t>
  </si>
  <si>
    <t>ENSP00000266719</t>
  </si>
  <si>
    <t>PH_hs_0007146</t>
  </si>
  <si>
    <t>FRAT1</t>
  </si>
  <si>
    <t>Homo sapiens frequently rearranged in advanced T-cell lymphomas 1 (FRAT1)</t>
  </si>
  <si>
    <t>NP_005470.2</t>
  </si>
  <si>
    <t>ENSP00000360060</t>
  </si>
  <si>
    <t>PH_hs_0007194</t>
  </si>
  <si>
    <t>VPS4B</t>
  </si>
  <si>
    <t>Homo sapiens vacuolar protein sorting 4 homolog B (S. cerevisiae)</t>
  </si>
  <si>
    <t>NP_004860.2</t>
  </si>
  <si>
    <t>PH_hs_0007250</t>
  </si>
  <si>
    <t>ENSG00000049883</t>
  </si>
  <si>
    <t>TINAG</t>
  </si>
  <si>
    <t>Homo sapiens tubulointerstitial nephritis antigen (TINAG)</t>
  </si>
  <si>
    <t>NP_055279.3</t>
  </si>
  <si>
    <t>PH_hs_0007300</t>
  </si>
  <si>
    <t>UBXN7</t>
  </si>
  <si>
    <t>Homo sapiens UBX domain protein 7 (UBXN7)</t>
  </si>
  <si>
    <t>NP_056377.1</t>
  </si>
  <si>
    <t>PH_hs_0007334</t>
  </si>
  <si>
    <t>PH_hs_0007351</t>
  </si>
  <si>
    <t>BIRC3</t>
  </si>
  <si>
    <t>Homo sapiens baculoviral IAP repeat containing 3 (BIRC3)</t>
  </si>
  <si>
    <t>PH_hs_0007357</t>
  </si>
  <si>
    <t>HDGFRP3</t>
  </si>
  <si>
    <t>NP_057157.1</t>
  </si>
  <si>
    <t>ADAM18</t>
  </si>
  <si>
    <t>Homo sapiens ADAM metallopeptidase domain 18 (ADAM18)</t>
  </si>
  <si>
    <t>CCDC178</t>
  </si>
  <si>
    <t>Homo sapiens coiled-coil domain containing 178 (CCDC178)</t>
  </si>
  <si>
    <t>PH_hs_0007383</t>
  </si>
  <si>
    <t>F2R</t>
  </si>
  <si>
    <t>NP_001983.2</t>
  </si>
  <si>
    <t>PH_hs_0007399</t>
  </si>
  <si>
    <t>C8orf37</t>
  </si>
  <si>
    <t>Homo sapiens chromosome 8 open reading frame 37 (C8orf37)</t>
  </si>
  <si>
    <t>NP_808880.1</t>
  </si>
  <si>
    <t>ENST00000286688</t>
  </si>
  <si>
    <t>ENSP00000286688</t>
  </si>
  <si>
    <t>PH_hs_0007400</t>
  </si>
  <si>
    <t>MKX</t>
  </si>
  <si>
    <t>Homo sapiens mohawk homeobox (MKX)</t>
  </si>
  <si>
    <t>PH_hs_0007455</t>
  </si>
  <si>
    <t>PHTF2</t>
  </si>
  <si>
    <t>Homo sapiens putative homeodomain transcription factor 2 (PHTF2)</t>
  </si>
  <si>
    <t>PH_hs_0007466</t>
  </si>
  <si>
    <t>SLC45A1</t>
  </si>
  <si>
    <t>NP_001073866.2</t>
  </si>
  <si>
    <t>PH_hs_0007472</t>
  </si>
  <si>
    <t>TRMT6</t>
  </si>
  <si>
    <t>Homo sapiens tRNA methyltransferase 6 (TRMT6)</t>
  </si>
  <si>
    <t>NP_057023.2</t>
  </si>
  <si>
    <t>PH_hs_0007488</t>
  </si>
  <si>
    <t>C1orf74</t>
  </si>
  <si>
    <t>Homo sapiens chromosome 1 open reading frame 74 (C1orf74)</t>
  </si>
  <si>
    <t>NP_689698.1</t>
  </si>
  <si>
    <t>ENST00000294811</t>
  </si>
  <si>
    <t>ENSP00000294811</t>
  </si>
  <si>
    <t>PH_hs_0007495</t>
  </si>
  <si>
    <t>COX8C</t>
  </si>
  <si>
    <t>Homo sapiens cytochrome c oxidase subunit VIIIC (COX8C)</t>
  </si>
  <si>
    <t>NP_892016.1</t>
  </si>
  <si>
    <t>ENST00000620478</t>
  </si>
  <si>
    <t>ENSP00000480706</t>
  </si>
  <si>
    <t>PH_hs_0007526</t>
  </si>
  <si>
    <t>SLC35D3</t>
  </si>
  <si>
    <t>NP_001008783.1</t>
  </si>
  <si>
    <t>ENST00000331858</t>
  </si>
  <si>
    <t>ENSP00000333591</t>
  </si>
  <si>
    <t>PH_hs_0007532</t>
  </si>
  <si>
    <t>CSNK1G3</t>
  </si>
  <si>
    <t>GALK2</t>
  </si>
  <si>
    <t>Homo sapiens galactokinase 2 (GALK2)</t>
  </si>
  <si>
    <t>PH_hs_0007586</t>
  </si>
  <si>
    <t>UBE2D1</t>
  </si>
  <si>
    <t>Homo sapiens ubiquitin-conjugating enzyme E2D 1 (UBE2D1)</t>
  </si>
  <si>
    <t>UQCRB</t>
  </si>
  <si>
    <t>Homo sapiens ubiquinol-cytochrome c reductase binding protein (UQCRB)</t>
  </si>
  <si>
    <t>PH_hs_0007788</t>
  </si>
  <si>
    <t>PDHA2</t>
  </si>
  <si>
    <t>NP_005381.1</t>
  </si>
  <si>
    <t>ENST00000295266</t>
  </si>
  <si>
    <t>ENSP00000295266</t>
  </si>
  <si>
    <t>SPATA5</t>
  </si>
  <si>
    <t>Homo sapiens spermatogenesis associated 5 (SPATA5)</t>
  </si>
  <si>
    <t>NP_660208.2</t>
  </si>
  <si>
    <t>ENSP00000274008</t>
  </si>
  <si>
    <t>PH_hs_0007844</t>
  </si>
  <si>
    <t>PDZD8</t>
  </si>
  <si>
    <t>Homo sapiens PDZ domain containing 8 (PDZD8)</t>
  </si>
  <si>
    <t>NP_776152.1</t>
  </si>
  <si>
    <t>ENSP00000334642</t>
  </si>
  <si>
    <t>RABL3</t>
  </si>
  <si>
    <t>NP_776186.2</t>
  </si>
  <si>
    <t>PH_hs_0007957</t>
  </si>
  <si>
    <t>TSACC</t>
  </si>
  <si>
    <t>Homo sapiens TSSK6 activating co-chaperone (TSACC)</t>
  </si>
  <si>
    <t>NP_653228.1</t>
  </si>
  <si>
    <t>PH_hs_0008047</t>
  </si>
  <si>
    <t>C6orf226</t>
  </si>
  <si>
    <t>Homo sapiens chromosome 6 open reading frame 226 (C6orf226)</t>
  </si>
  <si>
    <t>NP_001008739.1</t>
  </si>
  <si>
    <t>ENST00000408925</t>
  </si>
  <si>
    <t>ENSP00000386146</t>
  </si>
  <si>
    <t>PH_hs_0008069</t>
  </si>
  <si>
    <t>DACT3</t>
  </si>
  <si>
    <t>Homo sapiens dishevelled-binding antagonist of beta-catenin 3 (DACT3)</t>
  </si>
  <si>
    <t>NP_659493.2</t>
  </si>
  <si>
    <t>PH_hs_0008078</t>
  </si>
  <si>
    <t>PPAPDC3</t>
  </si>
  <si>
    <t>Homo sapiens phosphatidic acid phosphatase type 2 domain containing 3 (PPAPDC3)</t>
  </si>
  <si>
    <t>NP_116117.3</t>
  </si>
  <si>
    <t>PH_hs_0008130</t>
  </si>
  <si>
    <t>BRWD3</t>
  </si>
  <si>
    <t>Homo sapiens bromodomain and WD repeat domain containing 3 (BRWD3)</t>
  </si>
  <si>
    <t>NP_694984.4</t>
  </si>
  <si>
    <t>ENSP00000362372</t>
  </si>
  <si>
    <t>PH_hs_0008150</t>
  </si>
  <si>
    <t>PRDM6</t>
  </si>
  <si>
    <t>Homo sapiens PR domain containing 6 (PRDM6)</t>
  </si>
  <si>
    <t>NP_001129711.1</t>
  </si>
  <si>
    <t>PH_hs_0008165</t>
  </si>
  <si>
    <t>RSPO3</t>
  </si>
  <si>
    <t>Homo sapiens R-spondin 3 (RSPO3)</t>
  </si>
  <si>
    <t>NP_116173.2</t>
  </si>
  <si>
    <t>SH3GLB1</t>
  </si>
  <si>
    <t>Homo sapiens SH3-domain GRB2-like endophilin B1 (SH3GLB1)</t>
  </si>
  <si>
    <t>PH_hs_0008227</t>
  </si>
  <si>
    <t>POSTN</t>
  </si>
  <si>
    <t>PH_hs_0008357</t>
  </si>
  <si>
    <t>FAM50B</t>
  </si>
  <si>
    <t>NP_036267.1</t>
  </si>
  <si>
    <t>HHLA3</t>
  </si>
  <si>
    <t>Homo sapiens HERV-H LTR-associating 3 (HHLA3)</t>
  </si>
  <si>
    <t>PH_hs_0008384</t>
  </si>
  <si>
    <t>IAPP</t>
  </si>
  <si>
    <t>Homo sapiens islet amyloid polypeptide (IAPP)</t>
  </si>
  <si>
    <t>NP_000406.1</t>
  </si>
  <si>
    <t>PH_hs_0008451</t>
  </si>
  <si>
    <t>ENSG00000173905</t>
  </si>
  <si>
    <t>PH_hs_0008452</t>
  </si>
  <si>
    <t>ZBTB33</t>
  </si>
  <si>
    <t>Homo sapiens zinc finger and BTB domain containing 33 (ZBTB33)</t>
  </si>
  <si>
    <t>PH_hs_0008478</t>
  </si>
  <si>
    <t>ODAM</t>
  </si>
  <si>
    <t>NP_060325.3</t>
  </si>
  <si>
    <t>PH_hs_0008491</t>
  </si>
  <si>
    <t>FAM78A</t>
  </si>
  <si>
    <t>NP_203745.2</t>
  </si>
  <si>
    <t>PH_hs_0008536</t>
  </si>
  <si>
    <t>EVA1B</t>
  </si>
  <si>
    <t>Homo sapiens eva-1 homolog B (C. elegans)</t>
  </si>
  <si>
    <t>NP_060636.1</t>
  </si>
  <si>
    <t>ENSP00000270824</t>
  </si>
  <si>
    <t>PH_hs_0008590</t>
  </si>
  <si>
    <t>NCOR1</t>
  </si>
  <si>
    <t>Homo sapiens nuclear receptor corepressor 1 (NCOR1)</t>
  </si>
  <si>
    <t>PH_hs_0008594</t>
  </si>
  <si>
    <t>GNMT</t>
  </si>
  <si>
    <t>Homo sapiens glycine N-methyltransferase (GNMT)</t>
  </si>
  <si>
    <t>NP_061833.1</t>
  </si>
  <si>
    <t>ENST00000372808</t>
  </si>
  <si>
    <t>ENSP00000361894</t>
  </si>
  <si>
    <t>WDR35</t>
  </si>
  <si>
    <t>Homo sapiens WD repeat domain 35 (WDR35)</t>
  </si>
  <si>
    <t>PH_hs_0008717</t>
  </si>
  <si>
    <t>CDCP1</t>
  </si>
  <si>
    <t>Homo sapiens CUB domain containing protein 1 (CDCP1)</t>
  </si>
  <si>
    <t>NP_073753.3</t>
  </si>
  <si>
    <t>ZFP64</t>
  </si>
  <si>
    <t>Homo sapiens ZFP64 zinc finger protein (ZFP64)</t>
  </si>
  <si>
    <t>PH_hs_0008759</t>
  </si>
  <si>
    <t>SERINC1</t>
  </si>
  <si>
    <t>Homo sapiens serine incorporator 1 (SERINC1)</t>
  </si>
  <si>
    <t>NP_065806.1</t>
  </si>
  <si>
    <t>ENST00000339697</t>
  </si>
  <si>
    <t>ENSP00000342962</t>
  </si>
  <si>
    <t>PH_hs_0008775</t>
  </si>
  <si>
    <t>ZNF583</t>
  </si>
  <si>
    <t>Homo sapiens zinc finger protein 583 (ZNF583)</t>
  </si>
  <si>
    <t>H2AFX</t>
  </si>
  <si>
    <t>NP_002096.1</t>
  </si>
  <si>
    <t>PH_hs_0008826</t>
  </si>
  <si>
    <t>FABP6</t>
  </si>
  <si>
    <t>PH_hs_0008877</t>
  </si>
  <si>
    <t>ZNF474</t>
  </si>
  <si>
    <t>Homo sapiens zinc finger protein 474 (ZNF474)</t>
  </si>
  <si>
    <t>NP_997200.1</t>
  </si>
  <si>
    <t>PH_hs_0008936</t>
  </si>
  <si>
    <t>CNFN</t>
  </si>
  <si>
    <t>Homo sapiens cornifelin (CNFN)</t>
  </si>
  <si>
    <t>NP_115877.2</t>
  </si>
  <si>
    <t>PH_hs_0008950</t>
  </si>
  <si>
    <t>PLA2G4E</t>
  </si>
  <si>
    <t>NP_001193599.1</t>
  </si>
  <si>
    <t>ENSP00000382434</t>
  </si>
  <si>
    <t>PH_hs_0008978</t>
  </si>
  <si>
    <t>RHPN1</t>
  </si>
  <si>
    <t>NP_443156.2</t>
  </si>
  <si>
    <t>VPS53</t>
  </si>
  <si>
    <t>Homo sapiens vacuolar protein sorting 53 homolog (S. cerevisiae)</t>
  </si>
  <si>
    <t>PH_hs_0009057</t>
  </si>
  <si>
    <t>CDK9</t>
  </si>
  <si>
    <t>Homo sapiens cyclin-dependent kinase 9 (CDK9)</t>
  </si>
  <si>
    <t>NP_001252.1</t>
  </si>
  <si>
    <t>PH_hs_0009061</t>
  </si>
  <si>
    <t>FKBP6</t>
  </si>
  <si>
    <t>PH_hs_0009070</t>
  </si>
  <si>
    <t>CYP26A1</t>
  </si>
  <si>
    <t>PH_hs_0009125</t>
  </si>
  <si>
    <t>MYCBP2</t>
  </si>
  <si>
    <t>NP_055872.4</t>
  </si>
  <si>
    <t>PH_hs_0009137</t>
  </si>
  <si>
    <t>HCRTR2</t>
  </si>
  <si>
    <t>Homo sapiens hypocretin (orexin)</t>
  </si>
  <si>
    <t>NP_001517.2</t>
  </si>
  <si>
    <t>PH_hs_0009146</t>
  </si>
  <si>
    <t>EIF2S1</t>
  </si>
  <si>
    <t>NP_004085.1</t>
  </si>
  <si>
    <t>PH_hs_0009153</t>
  </si>
  <si>
    <t>MAP3K5</t>
  </si>
  <si>
    <t>Homo sapiens mitogen-activated protein kinase kinase kinase 5 (MAP3K5)</t>
  </si>
  <si>
    <t>NP_005914.1</t>
  </si>
  <si>
    <t>ENSP00000351908</t>
  </si>
  <si>
    <t>PH_hs_0009158</t>
  </si>
  <si>
    <t>WNT5A</t>
  </si>
  <si>
    <t>PH_hs_0009163</t>
  </si>
  <si>
    <t>SMARCA1</t>
  </si>
  <si>
    <t>NP_003060.2</t>
  </si>
  <si>
    <t>PH_hs_0009203</t>
  </si>
  <si>
    <t>SWAP70</t>
  </si>
  <si>
    <t>Homo sapiens SWAP switching B-cell complex 70kDa subunit (SWAP70)</t>
  </si>
  <si>
    <t>NP_055870.2</t>
  </si>
  <si>
    <t>PH_hs_0009219</t>
  </si>
  <si>
    <t>UHRF1BP1L</t>
  </si>
  <si>
    <t>Homo sapiens UHRF1 binding protein 1-like (UHRF1BP1L)</t>
  </si>
  <si>
    <t>NP_055869.1</t>
  </si>
  <si>
    <t>PH_hs_0009243</t>
  </si>
  <si>
    <t>INPP4B</t>
  </si>
  <si>
    <t>PH_hs_0009273</t>
  </si>
  <si>
    <t>PDLIM5</t>
  </si>
  <si>
    <t>Homo sapiens PDZ and LIM domain 5 (PDLIM5)</t>
  </si>
  <si>
    <t>PH_hs_0009286</t>
  </si>
  <si>
    <t>TRAK2</t>
  </si>
  <si>
    <t>NP_055864.2</t>
  </si>
  <si>
    <t>PH_hs_0009296</t>
  </si>
  <si>
    <t>SS18L1</t>
  </si>
  <si>
    <t>Homo sapiens synovial sarcoma translocation gene on chromosome 18-like 1 (SS18L1)</t>
  </si>
  <si>
    <t>NP_945173.1</t>
  </si>
  <si>
    <t>PH_hs_0009300</t>
  </si>
  <si>
    <t>CBR3</t>
  </si>
  <si>
    <t>Homo sapiens carbonyl reductase 3 (CBR3)</t>
  </si>
  <si>
    <t>NP_001227.1</t>
  </si>
  <si>
    <t>ENST00000290354</t>
  </si>
  <si>
    <t>ENSP00000290354</t>
  </si>
  <si>
    <t>PH_hs_0009314</t>
  </si>
  <si>
    <t>IRF2BP1</t>
  </si>
  <si>
    <t>Homo sapiens interferon regulatory factor 2 binding protein 1 (IRF2BP1)</t>
  </si>
  <si>
    <t>NP_056464.1</t>
  </si>
  <si>
    <t>ENST00000302165</t>
  </si>
  <si>
    <t>ENSP00000307265</t>
  </si>
  <si>
    <t>PH_hs_0009336</t>
  </si>
  <si>
    <t>TMEM74B</t>
  </si>
  <si>
    <t>Homo sapiens transmembrane protein 74B (TMEM74B)</t>
  </si>
  <si>
    <t>NP_060824.1</t>
  </si>
  <si>
    <t>PH_hs_0009339</t>
  </si>
  <si>
    <t>CA2</t>
  </si>
  <si>
    <t>Homo sapiens carbonic anhydrase II (CA2)</t>
  </si>
  <si>
    <t>NP_000058.1</t>
  </si>
  <si>
    <t>PH_hs_0009347</t>
  </si>
  <si>
    <t>ENOX2</t>
  </si>
  <si>
    <t>Homo sapiens ecto-NOX disulfide-thiol exchanger 2 (ENOX2)</t>
  </si>
  <si>
    <t>PH_hs_0009358</t>
  </si>
  <si>
    <t>NFE2L2</t>
  </si>
  <si>
    <t>PH_hs_0009403</t>
  </si>
  <si>
    <t>CLUAP1</t>
  </si>
  <si>
    <t>Homo sapiens clusterin associated protein 1 (CLUAP1)</t>
  </si>
  <si>
    <t>PH_hs_0009472</t>
  </si>
  <si>
    <t>CNTNAP4</t>
  </si>
  <si>
    <t>Homo sapiens contactin associated protein-like 4 (CNTNAP4)</t>
  </si>
  <si>
    <t>COQ7</t>
  </si>
  <si>
    <t>STX6</t>
  </si>
  <si>
    <t>Homo sapiens syntaxin 6 (STX6)</t>
  </si>
  <si>
    <t>NP_005810.1</t>
  </si>
  <si>
    <t>PH_hs_0009509</t>
  </si>
  <si>
    <t>IPP</t>
  </si>
  <si>
    <t>Homo sapiens intracisternal A particle-promoted polypeptide (IPP)</t>
  </si>
  <si>
    <t>NP_005888.1</t>
  </si>
  <si>
    <t>PH_hs_0009511</t>
  </si>
  <si>
    <t>ARX</t>
  </si>
  <si>
    <t>Homo sapiens aristaless related homeobox (ARX)</t>
  </si>
  <si>
    <t>NP_620689.1</t>
  </si>
  <si>
    <t>ENST00000379044</t>
  </si>
  <si>
    <t>ENSP00000368332</t>
  </si>
  <si>
    <t>PH_hs_0009558</t>
  </si>
  <si>
    <t>MOCOS</t>
  </si>
  <si>
    <t>Homo sapiens molybdenum cofactor sulfurase (MOCOS)</t>
  </si>
  <si>
    <t>NP_060417.2</t>
  </si>
  <si>
    <t>ENSP00000261326</t>
  </si>
  <si>
    <t>Homo sapiens histocompatibility (minor)</t>
  </si>
  <si>
    <t>PH_hs_0009675</t>
  </si>
  <si>
    <t>HAS2</t>
  </si>
  <si>
    <t>Homo sapiens hyaluronan synthase 2 (HAS2)</t>
  </si>
  <si>
    <t>NP_005319.1</t>
  </si>
  <si>
    <t>ENST00000303924</t>
  </si>
  <si>
    <t>ENSP00000306991</t>
  </si>
  <si>
    <t>PH_hs_0009720</t>
  </si>
  <si>
    <t>ABCD1</t>
  </si>
  <si>
    <t>NP_000024.2</t>
  </si>
  <si>
    <t>PH_hs_0009760</t>
  </si>
  <si>
    <t>TMEM2</t>
  </si>
  <si>
    <t>Homo sapiens transmembrane protein 2 (TMEM2)</t>
  </si>
  <si>
    <t>PH_hs_0009846</t>
  </si>
  <si>
    <t>WBSCR27</t>
  </si>
  <si>
    <t>Homo sapiens Williams Beuren syndrome chromosome region 27 (WBSCR27)</t>
  </si>
  <si>
    <t>NP_689772.2</t>
  </si>
  <si>
    <t>PH_hs_0009874</t>
  </si>
  <si>
    <t>STX17-AS1</t>
  </si>
  <si>
    <t>Homo sapiens STX17 antisense RNA 1 (STX17-AS1)</t>
  </si>
  <si>
    <t>ENST00000529965</t>
  </si>
  <si>
    <t>PH_hs_0009906</t>
  </si>
  <si>
    <t>N6AMT1</t>
  </si>
  <si>
    <t>Homo sapiens N-6 adenine-specific DNA methyltransferase 1 (putative)</t>
  </si>
  <si>
    <t>PH_hs_0009907</t>
  </si>
  <si>
    <t>NDUFA2</t>
  </si>
  <si>
    <t>PH_hs_0009923</t>
  </si>
  <si>
    <t>FBXO48</t>
  </si>
  <si>
    <t>Homo sapiens F-box protein 48 (FBXO48)</t>
  </si>
  <si>
    <t>NP_001019851.1</t>
  </si>
  <si>
    <t>ENST00000377957</t>
  </si>
  <si>
    <t>ENSP00000367193</t>
  </si>
  <si>
    <t>DIRAS2</t>
  </si>
  <si>
    <t>NP_060064.2</t>
  </si>
  <si>
    <t>ENST00000375765</t>
  </si>
  <si>
    <t>ENSP00000364919</t>
  </si>
  <si>
    <t>PH_hs_0009987</t>
  </si>
  <si>
    <t>SLC38A4</t>
  </si>
  <si>
    <t>PH_hs_0010024</t>
  </si>
  <si>
    <t>FAM114A2</t>
  </si>
  <si>
    <t>NP_061161.2</t>
  </si>
  <si>
    <t>PH_hs_0010029</t>
  </si>
  <si>
    <t>STK3</t>
  </si>
  <si>
    <t>Homo sapiens serine/threonine kinase 3 (STK3)</t>
  </si>
  <si>
    <t>PH_hs_0010039</t>
  </si>
  <si>
    <t>FAT1</t>
  </si>
  <si>
    <t>Homo sapiens FAT atypical cadherin 1 (FAT1)</t>
  </si>
  <si>
    <t>NP_005236.2</t>
  </si>
  <si>
    <t>PH_hs_0010044</t>
  </si>
  <si>
    <t>ENDOD1</t>
  </si>
  <si>
    <t>Homo sapiens endonuclease domain containing 1 (ENDOD1)</t>
  </si>
  <si>
    <t>NP_055851.1</t>
  </si>
  <si>
    <t>ENST00000278505</t>
  </si>
  <si>
    <t>ENSP00000278505</t>
  </si>
  <si>
    <t>PH_hs_0010070</t>
  </si>
  <si>
    <t>TAS2R1</t>
  </si>
  <si>
    <t>NP_062545.1</t>
  </si>
  <si>
    <t>PH_hs_0010071</t>
  </si>
  <si>
    <t>TBX2</t>
  </si>
  <si>
    <t>Homo sapiens T-box 2 (TBX2)</t>
  </si>
  <si>
    <t>NP_005985.3</t>
  </si>
  <si>
    <t>PH_hs_0010095</t>
  </si>
  <si>
    <t>TGFB2</t>
  </si>
  <si>
    <t>PH_hs_0010109</t>
  </si>
  <si>
    <t>DDX21</t>
  </si>
  <si>
    <t>PH_hs_0010111</t>
  </si>
  <si>
    <t>FRYL</t>
  </si>
  <si>
    <t>Homo sapiens FRY-like (FRYL)</t>
  </si>
  <si>
    <t>NP_055845.1</t>
  </si>
  <si>
    <t>PH_hs_0010113</t>
  </si>
  <si>
    <t>DIABLO</t>
  </si>
  <si>
    <t>NP_063940.1</t>
  </si>
  <si>
    <t>PH_hs_0010122</t>
  </si>
  <si>
    <t>COL4A5</t>
  </si>
  <si>
    <t>PH_hs_0010137</t>
  </si>
  <si>
    <t>HS2ST1</t>
  </si>
  <si>
    <t>Homo sapiens heparan sulfate 2-O-sulfotransferase 1 (HS2ST1)</t>
  </si>
  <si>
    <t>NP_036394.1</t>
  </si>
  <si>
    <t>BTN2A1</t>
  </si>
  <si>
    <t>PH_hs_0010150</t>
  </si>
  <si>
    <t>PDGFRL</t>
  </si>
  <si>
    <t>Homo sapiens platelet-derived growth factor receptor-like (PDGFRL)</t>
  </si>
  <si>
    <t>NP_006198.1</t>
  </si>
  <si>
    <t>PH_hs_0010160</t>
  </si>
  <si>
    <t>MEIS1</t>
  </si>
  <si>
    <t>Homo sapiens Meis homeobox 1 (MEIS1)</t>
  </si>
  <si>
    <t>NP_002389.1</t>
  </si>
  <si>
    <t>PH_hs_0010169</t>
  </si>
  <si>
    <t>CECR1</t>
  </si>
  <si>
    <t>NP_803124.1</t>
  </si>
  <si>
    <t>PH_hs_0010200</t>
  </si>
  <si>
    <t>RPRML</t>
  </si>
  <si>
    <t>Homo sapiens reprimo-like (RPRML)</t>
  </si>
  <si>
    <t>NP_981945.1</t>
  </si>
  <si>
    <t>ENST00000322329</t>
  </si>
  <si>
    <t>ENSP00000318032</t>
  </si>
  <si>
    <t>PH_hs_0010204</t>
  </si>
  <si>
    <t>DIRC1</t>
  </si>
  <si>
    <t>Homo sapiens disrupted in renal carcinoma 1 (DIRC1)</t>
  </si>
  <si>
    <t>NP_443184.1</t>
  </si>
  <si>
    <t>ENST00000308100</t>
  </si>
  <si>
    <t>ENSP00000307860</t>
  </si>
  <si>
    <t>PH_hs_0010252</t>
  </si>
  <si>
    <t>HSD17B10</t>
  </si>
  <si>
    <t>PVR</t>
  </si>
  <si>
    <t>Homo sapiens poliovirus receptor (PVR)</t>
  </si>
  <si>
    <t>PH_hs_0010292</t>
  </si>
  <si>
    <t>SEMA3C</t>
  </si>
  <si>
    <t>NP_006370.1</t>
  </si>
  <si>
    <t>TROAP</t>
  </si>
  <si>
    <t>Homo sapiens trophinin associated protein (TROAP)</t>
  </si>
  <si>
    <t>PH_hs_0010303</t>
  </si>
  <si>
    <t>ADAM10</t>
  </si>
  <si>
    <t>Homo sapiens ADAM metallopeptidase domain 10 (ADAM10)</t>
  </si>
  <si>
    <t>NP_001101.1</t>
  </si>
  <si>
    <t>PH_hs_0010304</t>
  </si>
  <si>
    <t>PLK4</t>
  </si>
  <si>
    <t>Homo sapiens polo-like kinase 4 (PLK4)</t>
  </si>
  <si>
    <t>PH_hs_0010307</t>
  </si>
  <si>
    <t>TMEM123</t>
  </si>
  <si>
    <t>Homo sapiens transmembrane protein 123 (TMEM123)</t>
  </si>
  <si>
    <t>NP_443164.2</t>
  </si>
  <si>
    <t>PH_hs_0010330</t>
  </si>
  <si>
    <t>ARHGAP11A</t>
  </si>
  <si>
    <t>Homo sapiens Rho GTPase activating protein 11A (ARHGAP11A)</t>
  </si>
  <si>
    <t>NP_055598.1</t>
  </si>
  <si>
    <t>ARMCX3</t>
  </si>
  <si>
    <t>PH_hs_0010342</t>
  </si>
  <si>
    <t>UXT</t>
  </si>
  <si>
    <t>PH_hs_0010347</t>
  </si>
  <si>
    <t>NRG1</t>
  </si>
  <si>
    <t>Homo sapiens neuregulin 1 (NRG1)</t>
  </si>
  <si>
    <t>PH_hs_0010369</t>
  </si>
  <si>
    <t>GNB4</t>
  </si>
  <si>
    <t>NP_067642.1</t>
  </si>
  <si>
    <t>PH_hs_0010370</t>
  </si>
  <si>
    <t>AMPH</t>
  </si>
  <si>
    <t>Homo sapiens amphiphysin (AMPH)</t>
  </si>
  <si>
    <t>PH_hs_0010371</t>
  </si>
  <si>
    <t>MTA2</t>
  </si>
  <si>
    <t>NP_004730.2</t>
  </si>
  <si>
    <t>Homo sapiens solute carrier family 24 (sodium/potassium/calcium exchanger)</t>
  </si>
  <si>
    <t>PH_hs_0010384</t>
  </si>
  <si>
    <t>TMEM100</t>
  </si>
  <si>
    <t>Homo sapiens transmembrane protein 100 (TMEM100)</t>
  </si>
  <si>
    <t>PH_hs_0010387</t>
  </si>
  <si>
    <t>CTR9</t>
  </si>
  <si>
    <t>NP_055448.1</t>
  </si>
  <si>
    <t>PH_hs_0010402</t>
  </si>
  <si>
    <t>UQCRC2</t>
  </si>
  <si>
    <t>Homo sapiens ubiquinol-cytochrome c reductase core protein II (UQCRC2)</t>
  </si>
  <si>
    <t>NP_003357.2</t>
  </si>
  <si>
    <t>PH_hs_0010404</t>
  </si>
  <si>
    <t>SERPINF1</t>
  </si>
  <si>
    <t>NP_002606.3</t>
  </si>
  <si>
    <t>PH_hs_0010425</t>
  </si>
  <si>
    <t>NFIA</t>
  </si>
  <si>
    <t>Homo sapiens nuclear factor I/A (NFIA)</t>
  </si>
  <si>
    <t>PH_hs_0010426</t>
  </si>
  <si>
    <t>MTPAP</t>
  </si>
  <si>
    <t>Homo sapiens mitochondrial poly(A)</t>
  </si>
  <si>
    <t>NP_060579.3</t>
  </si>
  <si>
    <t>PH_hs_0010431</t>
  </si>
  <si>
    <t>EIF3J</t>
  </si>
  <si>
    <t>NP_003749.2</t>
  </si>
  <si>
    <t>PH_hs_0010436</t>
  </si>
  <si>
    <t>EDF1</t>
  </si>
  <si>
    <t>Homo sapiens endothelial differentiation-related factor 1 (EDF1)</t>
  </si>
  <si>
    <t>NP_003783.1</t>
  </si>
  <si>
    <t>PH_hs_0010448</t>
  </si>
  <si>
    <t>MYOM3</t>
  </si>
  <si>
    <t>Homo sapiens myomesin 3 (MYOM3)</t>
  </si>
  <si>
    <t>NP_689585.3</t>
  </si>
  <si>
    <t>PH_hs_0010455</t>
  </si>
  <si>
    <t>TMEM41B</t>
  </si>
  <si>
    <t>Homo sapiens transmembrane protein 41B (TMEM41B)</t>
  </si>
  <si>
    <t>PH_hs_0010461</t>
  </si>
  <si>
    <t>SLC7A3</t>
  </si>
  <si>
    <t>PH_hs_0010471</t>
  </si>
  <si>
    <t>MYO16</t>
  </si>
  <si>
    <t>Homo sapiens myosin XVI (MYO16)</t>
  </si>
  <si>
    <t>PH_hs_0010516</t>
  </si>
  <si>
    <t>RANBP3</t>
  </si>
  <si>
    <t>Homo sapiens RAN binding protein 3 (RANBP3)</t>
  </si>
  <si>
    <t>PH_hs_0010546</t>
  </si>
  <si>
    <t>APP</t>
  </si>
  <si>
    <t>PH_hs_0010551</t>
  </si>
  <si>
    <t>OXCT1</t>
  </si>
  <si>
    <t>Homo sapiens 3-oxoacid CoA transferase 1 (OXCT1)</t>
  </si>
  <si>
    <t>NP_000427.1</t>
  </si>
  <si>
    <t>PH_hs_0010553</t>
  </si>
  <si>
    <t>PDZRN3</t>
  </si>
  <si>
    <t>Homo sapiens PDZ domain containing ring finger 3 (PDZRN3)</t>
  </si>
  <si>
    <t>NP_055824.1</t>
  </si>
  <si>
    <t>MFAP3L</t>
  </si>
  <si>
    <t>Homo sapiens microfibrillar-associated protein 3-like (MFAP3L)</t>
  </si>
  <si>
    <t>PH_hs_0010596</t>
  </si>
  <si>
    <t>GUCY1A2</t>
  </si>
  <si>
    <t>PH_hs_0010606</t>
  </si>
  <si>
    <t>RPL8</t>
  </si>
  <si>
    <t>Homo sapiens ribosomal protein L8 (RPL8)</t>
  </si>
  <si>
    <t>Homo sapiens solute carrier family 30 (zinc transporter)</t>
  </si>
  <si>
    <t>PH_hs_0010632</t>
  </si>
  <si>
    <t>SNAPC1</t>
  </si>
  <si>
    <t>NP_003073.1</t>
  </si>
  <si>
    <t>ENST00000216294</t>
  </si>
  <si>
    <t>ENSP00000216294</t>
  </si>
  <si>
    <t>PH_hs_0010643</t>
  </si>
  <si>
    <t>COL10A1</t>
  </si>
  <si>
    <t>NP_000484.2</t>
  </si>
  <si>
    <t>PH_hs_0010646</t>
  </si>
  <si>
    <t>RAB20</t>
  </si>
  <si>
    <t>NP_060287.1</t>
  </si>
  <si>
    <t>ENST00000267328</t>
  </si>
  <si>
    <t>ENSP00000267328</t>
  </si>
  <si>
    <t>PH_hs_0010653</t>
  </si>
  <si>
    <t>TGS1</t>
  </si>
  <si>
    <t>Homo sapiens trimethylguanosine synthase 1 (TGS1)</t>
  </si>
  <si>
    <t>NP_079107.6</t>
  </si>
  <si>
    <t>PH_hs_0010656</t>
  </si>
  <si>
    <t>CSTF3</t>
  </si>
  <si>
    <t>NP_001317.1</t>
  </si>
  <si>
    <t>POLB</t>
  </si>
  <si>
    <t>NP_002681.1</t>
  </si>
  <si>
    <t>PH_hs_0010688</t>
  </si>
  <si>
    <t>DNM1L</t>
  </si>
  <si>
    <t>Homo sapiens dynamin 1-like (DNM1L)</t>
  </si>
  <si>
    <t>PH_hs_0010698</t>
  </si>
  <si>
    <t>HIST1H2BD</t>
  </si>
  <si>
    <t>NP_619790.1</t>
  </si>
  <si>
    <t>PH_hs_0010701</t>
  </si>
  <si>
    <t>IFNGR1</t>
  </si>
  <si>
    <t>Homo sapiens interferon gamma receptor 1 (IFNGR1)</t>
  </si>
  <si>
    <t>NP_000407.1</t>
  </si>
  <si>
    <t>MED4</t>
  </si>
  <si>
    <t>Homo sapiens mediator complex subunit 4 (MED4)</t>
  </si>
  <si>
    <t>PH_hs_0010720</t>
  </si>
  <si>
    <t>GLB1L</t>
  </si>
  <si>
    <t>NP_078782.3</t>
  </si>
  <si>
    <t>PH_hs_0010721</t>
  </si>
  <si>
    <t>CHCHD1</t>
  </si>
  <si>
    <t>Homo sapiens coiled-coil-helix-coiled-coil-helix domain containing 1 (CHCHD1)</t>
  </si>
  <si>
    <t>NP_976043.1</t>
  </si>
  <si>
    <t>SEL1L</t>
  </si>
  <si>
    <t>Homo sapiens sel-1 suppressor of lin-12-like (C. elegans)</t>
  </si>
  <si>
    <t>NP_005056.3</t>
  </si>
  <si>
    <t>PH_hs_0010735</t>
  </si>
  <si>
    <t>TARSL2</t>
  </si>
  <si>
    <t>Homo sapiens threonyl-tRNA synthetase-like 2 (TARSL2)</t>
  </si>
  <si>
    <t>NP_689547.2</t>
  </si>
  <si>
    <t>PH_hs_0010770</t>
  </si>
  <si>
    <t>ABHD11</t>
  </si>
  <si>
    <t>Homo sapiens abhydrolase domain containing 11 (ABHD11)</t>
  </si>
  <si>
    <t>PH_hs_0010784</t>
  </si>
  <si>
    <t>MRPL20</t>
  </si>
  <si>
    <t>Homo sapiens mitochondrial ribosomal protein L20 (MRPL20)</t>
  </si>
  <si>
    <t>NP_060441.2</t>
  </si>
  <si>
    <t>PH_hs_0010789</t>
  </si>
  <si>
    <t>FAIM2</t>
  </si>
  <si>
    <t>Homo sapiens Fas apoptotic inhibitory molecule 2 (FAIM2)</t>
  </si>
  <si>
    <t>NP_036438.2</t>
  </si>
  <si>
    <t>PH_hs_0010801</t>
  </si>
  <si>
    <t>STRN3</t>
  </si>
  <si>
    <t>ANAPC11</t>
  </si>
  <si>
    <t>Homo sapiens anaphase promoting complex subunit 11 (ANAPC11)</t>
  </si>
  <si>
    <t>PH_hs_0010813</t>
  </si>
  <si>
    <t>TRIM39-RPP21|RPP21</t>
  </si>
  <si>
    <t>Homo sapiens TRIM39-RPP21 readthrough (TRIM39-RPP21)|Homo sapiens ribonuclease P/MRP 21kDa subunit (RPP21)</t>
  </si>
  <si>
    <t>202658|79897</t>
  </si>
  <si>
    <t>ENSG00000229929|ENSG00000243009</t>
  </si>
  <si>
    <t>CHMP4C</t>
  </si>
  <si>
    <t>Homo sapiens charged multivesicular body protein 4C (CHMP4C)</t>
  </si>
  <si>
    <t>NP_689497.1</t>
  </si>
  <si>
    <t>ENST00000297265</t>
  </si>
  <si>
    <t>ENSP00000297265</t>
  </si>
  <si>
    <t>PVRL2</t>
  </si>
  <si>
    <t>Homo sapiens poliovirus receptor-related 2 (herpesvirus entry mediator B)</t>
  </si>
  <si>
    <t>PH_hs_0010856</t>
  </si>
  <si>
    <t>SPEN</t>
  </si>
  <si>
    <t>Homo sapiens spen family transcriptional repressor (SPEN)</t>
  </si>
  <si>
    <t>NP_055816.2</t>
  </si>
  <si>
    <t>PH_hs_0010860</t>
  </si>
  <si>
    <t>OSCP1</t>
  </si>
  <si>
    <t>Homo sapiens organic solute carrier partner 1 (OSCP1)</t>
  </si>
  <si>
    <t>NP_659484.4</t>
  </si>
  <si>
    <t>GBX2</t>
  </si>
  <si>
    <t>Homo sapiens gastrulation brain homeobox 2 (GBX2)</t>
  </si>
  <si>
    <t>NP_001476.2</t>
  </si>
  <si>
    <t>CEP135</t>
  </si>
  <si>
    <t>Homo sapiens centrosomal protein 135kDa (CEP135)</t>
  </si>
  <si>
    <t>NP_079285.2</t>
  </si>
  <si>
    <t>NACC1</t>
  </si>
  <si>
    <t>NP_443108.1</t>
  </si>
  <si>
    <t>KATNAL1</t>
  </si>
  <si>
    <t>Homo sapiens katanin p60 subunit A-like 1 (KATNAL1)</t>
  </si>
  <si>
    <t>PH_hs_0010922</t>
  </si>
  <si>
    <t>IFT80</t>
  </si>
  <si>
    <t>Homo sapiens intraflagellar transport 80 (IFT80)</t>
  </si>
  <si>
    <t>PH_hs_0011095</t>
  </si>
  <si>
    <t>SLX4IP</t>
  </si>
  <si>
    <t>Homo sapiens SLX4 interacting protein (SLX4IP)</t>
  </si>
  <si>
    <t>NP_001009608.1</t>
  </si>
  <si>
    <t>PH_hs_0011153</t>
  </si>
  <si>
    <t>PAN3</t>
  </si>
  <si>
    <t>Homo sapiens PAN3 poly(A)</t>
  </si>
  <si>
    <t>NP_787050.6</t>
  </si>
  <si>
    <t>PH_hs_0011212</t>
  </si>
  <si>
    <t>C9orf66</t>
  </si>
  <si>
    <t>Homo sapiens chromosome 9 open reading frame 66 (C9orf66)</t>
  </si>
  <si>
    <t>NP_689782.2</t>
  </si>
  <si>
    <t>ENST00000382387</t>
  </si>
  <si>
    <t>ENSP00000371824</t>
  </si>
  <si>
    <t>PH_hs_0011293</t>
  </si>
  <si>
    <t>SEC61B</t>
  </si>
  <si>
    <t>Homo sapiens Sec61 beta subunit (SEC61B)</t>
  </si>
  <si>
    <t>NP_006799.1</t>
  </si>
  <si>
    <t>PH_hs_0011333</t>
  </si>
  <si>
    <t>HELB</t>
  </si>
  <si>
    <t>Homo sapiens helicase (DNA)</t>
  </si>
  <si>
    <t>NP_387467.2</t>
  </si>
  <si>
    <t>PH_hs_0011337</t>
  </si>
  <si>
    <t>DSCR8</t>
  </si>
  <si>
    <t>Homo sapiens Down syndrome critical region 8 (DSCR8)</t>
  </si>
  <si>
    <t>PH_hs_0011345</t>
  </si>
  <si>
    <t>FAM160B1</t>
  </si>
  <si>
    <t>NP_065991.3</t>
  </si>
  <si>
    <t>PH_hs_0011381</t>
  </si>
  <si>
    <t>LRRCC1</t>
  </si>
  <si>
    <t>Homo sapiens leucine rich repeat and coiled-coil centrosomal protein 1 (LRRCC1)</t>
  </si>
  <si>
    <t>NP_208325.3</t>
  </si>
  <si>
    <t>RDM1</t>
  </si>
  <si>
    <t>Homo sapiens RAD52 motif containing 1 (RDM1)</t>
  </si>
  <si>
    <t>PH_hs_0011484</t>
  </si>
  <si>
    <t>PALLD</t>
  </si>
  <si>
    <t>PH_hs_0011501</t>
  </si>
  <si>
    <t>BAZ1B</t>
  </si>
  <si>
    <t>NP_115784.1</t>
  </si>
  <si>
    <t>PH_hs_0011572</t>
  </si>
  <si>
    <t>NUDCD1</t>
  </si>
  <si>
    <t>Homo sapiens NudC domain containing 1 (NUDCD1)</t>
  </si>
  <si>
    <t>PH_hs_0011612</t>
  </si>
  <si>
    <t>SUSD5</t>
  </si>
  <si>
    <t>Homo sapiens sushi domain containing 5 (SUSD5)</t>
  </si>
  <si>
    <t>NP_056366.1</t>
  </si>
  <si>
    <t>PH_hs_0011639</t>
  </si>
  <si>
    <t>RAB3GAP2</t>
  </si>
  <si>
    <t>Homo sapiens RAB3 GTPase activating protein subunit 2 (non-catalytic)</t>
  </si>
  <si>
    <t>NP_036546.2</t>
  </si>
  <si>
    <t>PH_hs_0011642</t>
  </si>
  <si>
    <t>CPQ</t>
  </si>
  <si>
    <t>Homo sapiens carboxypeptidase Q (CPQ)</t>
  </si>
  <si>
    <t>NP_057218.1</t>
  </si>
  <si>
    <t>PH_hs_0011643</t>
  </si>
  <si>
    <t>TDRD5</t>
  </si>
  <si>
    <t>Homo sapiens tudor domain containing 5 (TDRD5)</t>
  </si>
  <si>
    <t>PH_hs_0011672</t>
  </si>
  <si>
    <t>CAMK2N1</t>
  </si>
  <si>
    <t>Homo sapiens calcium/calmodulin-dependent protein kinase II inhibitor 1 (CAMK2N1)</t>
  </si>
  <si>
    <t>NP_061054.2</t>
  </si>
  <si>
    <t>ENSP00000364219</t>
  </si>
  <si>
    <t>PH_hs_0011673</t>
  </si>
  <si>
    <t>OSBPL3</t>
  </si>
  <si>
    <t>Homo sapiens oxysterol binding protein-like 3 (OSBPL3)</t>
  </si>
  <si>
    <t>PH_hs_0011679</t>
  </si>
  <si>
    <t>NDUFB10</t>
  </si>
  <si>
    <t>NP_004539.1</t>
  </si>
  <si>
    <t>WRB</t>
  </si>
  <si>
    <t>Homo sapiens tryptophan rich basic protein (WRB)</t>
  </si>
  <si>
    <t>PH_hs_0011697</t>
  </si>
  <si>
    <t>CHUK</t>
  </si>
  <si>
    <t>Homo sapiens conserved helix-loop-helix ubiquitous kinase (CHUK)</t>
  </si>
  <si>
    <t>NP_001269.3</t>
  </si>
  <si>
    <t>ENSP00000359424</t>
  </si>
  <si>
    <t>PH_hs_0011703</t>
  </si>
  <si>
    <t>STK39</t>
  </si>
  <si>
    <t>Homo sapiens serine threonine kinase 39 (STK39)</t>
  </si>
  <si>
    <t>NP_037365.2</t>
  </si>
  <si>
    <t>ENSP00000348278</t>
  </si>
  <si>
    <t>PH_hs_0011704</t>
  </si>
  <si>
    <t>CYP27B1</t>
  </si>
  <si>
    <t>NP_000776.1</t>
  </si>
  <si>
    <t>PH_hs_0011706</t>
  </si>
  <si>
    <t>NAALAD2</t>
  </si>
  <si>
    <t>Homo sapiens N-acetylated alpha-linked acidic dipeptidase 2 (NAALAD2)</t>
  </si>
  <si>
    <t>NP_005458.1</t>
  </si>
  <si>
    <t>PH_hs_0011747</t>
  </si>
  <si>
    <t>CARD6</t>
  </si>
  <si>
    <t>NP_115976.2</t>
  </si>
  <si>
    <t>TXLNG</t>
  </si>
  <si>
    <t>Homo sapiens taxilin gamma (TXLNG)</t>
  </si>
  <si>
    <t>PH_hs_0012179</t>
  </si>
  <si>
    <t>ARMCX4</t>
  </si>
  <si>
    <t>PH_hs_0012185</t>
  </si>
  <si>
    <t>RSPO2</t>
  </si>
  <si>
    <t>Homo sapiens R-spondin 2 (RSPO2)</t>
  </si>
  <si>
    <t>NP_848660.3</t>
  </si>
  <si>
    <t>PH_hs_0012222</t>
  </si>
  <si>
    <t>HECTD1</t>
  </si>
  <si>
    <t>Homo sapiens HECT domain containing E3 ubiquitin protein ligase 1 (HECTD1)</t>
  </si>
  <si>
    <t>NP_056197.3</t>
  </si>
  <si>
    <t>PH_hs_0012223</t>
  </si>
  <si>
    <t>TBR1</t>
  </si>
  <si>
    <t>NP_006584.1</t>
  </si>
  <si>
    <t>PH_hs_0012266</t>
  </si>
  <si>
    <t>HCCS</t>
  </si>
  <si>
    <t>Homo sapiens holocytochrome c synthase (HCCS)</t>
  </si>
  <si>
    <t>PH_hs_0012309</t>
  </si>
  <si>
    <t>TNFRSF18</t>
  </si>
  <si>
    <t>FAM200A</t>
  </si>
  <si>
    <t>NP_659802.1</t>
  </si>
  <si>
    <t>SLC35E2</t>
  </si>
  <si>
    <t>OCM2|OCM</t>
  </si>
  <si>
    <t>Homo sapiens oncomodulin 2 (OCM2)|Homo sapiens oncomodulin (OCM)</t>
  </si>
  <si>
    <t>4951|654231</t>
  </si>
  <si>
    <t>NM_006188|NM_001097622</t>
  </si>
  <si>
    <t>NP_006179.2|NP_001091091.1</t>
  </si>
  <si>
    <t>ENSG00000135175|ENSG00000122543</t>
  </si>
  <si>
    <t>PH_hs_0012402</t>
  </si>
  <si>
    <t>POLR2J</t>
  </si>
  <si>
    <t>NP_006225.1</t>
  </si>
  <si>
    <t>PH_hs_0012404</t>
  </si>
  <si>
    <t>PAPD4</t>
  </si>
  <si>
    <t>Homo sapiens PAP associated domain containing 4 (PAPD4)</t>
  </si>
  <si>
    <t>PH_hs_0012429</t>
  </si>
  <si>
    <t>NEDD8-MDP1|MDP1</t>
  </si>
  <si>
    <t>Homo sapiens NEDD8-MDP1 readthrough (NEDD8-MDP1)|Homo sapiens magnesium-dependent phosphatase 1 (MDP1)</t>
  </si>
  <si>
    <t>100528064|145553</t>
  </si>
  <si>
    <t>HBS1L</t>
  </si>
  <si>
    <t>Homo sapiens HBS1-like translational GTPase (HBS1L)</t>
  </si>
  <si>
    <t>BVES</t>
  </si>
  <si>
    <t>Homo sapiens blood vessel epicardial substance (BVES)</t>
  </si>
  <si>
    <t>PH_hs_0012483</t>
  </si>
  <si>
    <t>ZNF837</t>
  </si>
  <si>
    <t>Homo sapiens zinc finger protein 837 (ZNF837)</t>
  </si>
  <si>
    <t>PH_hs_0012518</t>
  </si>
  <si>
    <t>ESX1</t>
  </si>
  <si>
    <t>Homo sapiens ESX homeobox 1 (ESX1)</t>
  </si>
  <si>
    <t>NP_703149.1</t>
  </si>
  <si>
    <t>ENST00000372588</t>
  </si>
  <si>
    <t>ENSP00000361669</t>
  </si>
  <si>
    <t>C9orf114</t>
  </si>
  <si>
    <t>Homo sapiens chromosome 9 open reading frame 114 (C9orf114)</t>
  </si>
  <si>
    <t>NP_057474.2</t>
  </si>
  <si>
    <t>PH_hs_0012554</t>
  </si>
  <si>
    <t>C1orf101</t>
  </si>
  <si>
    <t>Homo sapiens chromosome 1 open reading frame 101 (C1orf101)</t>
  </si>
  <si>
    <t>PH_hs_0012562</t>
  </si>
  <si>
    <t>KIAA1324L</t>
  </si>
  <si>
    <t>Homo sapiens KIAA1324-like (KIAA1324L)</t>
  </si>
  <si>
    <t>PH_hs_0012591</t>
  </si>
  <si>
    <t>LOC100507670</t>
  </si>
  <si>
    <t>PREDICTED: Homo sapiens uncharacterized LOC100507670 (LOC100507670)</t>
  </si>
  <si>
    <t>RAB1A</t>
  </si>
  <si>
    <t>PH_hs_0012660</t>
  </si>
  <si>
    <t>NDUFB4</t>
  </si>
  <si>
    <t>NP_004538.2</t>
  </si>
  <si>
    <t>PH_hs_0012662</t>
  </si>
  <si>
    <t>PTP4A1</t>
  </si>
  <si>
    <t>NP_003454.1</t>
  </si>
  <si>
    <t>PH_hs_0012697</t>
  </si>
  <si>
    <t>WBP2</t>
  </si>
  <si>
    <t>Homo sapiens WW domain binding protein 2 (WBP2)</t>
  </si>
  <si>
    <t>NP_036610.2</t>
  </si>
  <si>
    <t>HNRNPA2B1</t>
  </si>
  <si>
    <t>Homo sapiens heterogeneous nuclear ribonucleoprotein A2/B1 (HNRNPA2B1)</t>
  </si>
  <si>
    <t>Homo sapiens protocadherin-related 15 (PCDH15)</t>
  </si>
  <si>
    <t>PH_hs_0012780</t>
  </si>
  <si>
    <t>TFPT</t>
  </si>
  <si>
    <t>Homo sapiens TCF3 (E2A)</t>
  </si>
  <si>
    <t>NP_037474.1</t>
  </si>
  <si>
    <t>PH_hs_0012783</t>
  </si>
  <si>
    <t>PSMA7</t>
  </si>
  <si>
    <t>NP_002783.1</t>
  </si>
  <si>
    <t>PH_hs_0012790</t>
  </si>
  <si>
    <t>CAPRIN2</t>
  </si>
  <si>
    <t>Homo sapiens caprin family member 2 (CAPRIN2)</t>
  </si>
  <si>
    <t>PH_hs_0012793</t>
  </si>
  <si>
    <t>NUF2</t>
  </si>
  <si>
    <t>PH_hs_0012799</t>
  </si>
  <si>
    <t>FEV</t>
  </si>
  <si>
    <t>Homo sapiens FEV (ETS oncogene family)</t>
  </si>
  <si>
    <t>NP_059991.1</t>
  </si>
  <si>
    <t>ENSP00000295727</t>
  </si>
  <si>
    <t>PH_hs_0012812</t>
  </si>
  <si>
    <t>RECQL</t>
  </si>
  <si>
    <t>Homo sapiens RecQ helicase-like (RECQL)</t>
  </si>
  <si>
    <t>NOL10</t>
  </si>
  <si>
    <t>Homo sapiens nucleolar protein 10 (NOL10)</t>
  </si>
  <si>
    <t>PH_hs_0012820</t>
  </si>
  <si>
    <t>ATP5J2</t>
  </si>
  <si>
    <t>PH_hs_0012842</t>
  </si>
  <si>
    <t>MID1IP1</t>
  </si>
  <si>
    <t>Homo sapiens MID1 interacting protein 1 (MID1IP1)</t>
  </si>
  <si>
    <t>PH_hs_0012857</t>
  </si>
  <si>
    <t>SLC35A5</t>
  </si>
  <si>
    <t>NP_060415.1</t>
  </si>
  <si>
    <t>PH_hs_0012858</t>
  </si>
  <si>
    <t>DNAJB5</t>
  </si>
  <si>
    <t>PH_hs_0012862</t>
  </si>
  <si>
    <t>CYP4V2</t>
  </si>
  <si>
    <t>NP_997235.3</t>
  </si>
  <si>
    <t>ENSP00000368079</t>
  </si>
  <si>
    <t>PH_hs_0012876</t>
  </si>
  <si>
    <t>DAB2IP</t>
  </si>
  <si>
    <t>Homo sapiens DAB2 interacting protein (DAB2IP)</t>
  </si>
  <si>
    <t>NP_115941.2</t>
  </si>
  <si>
    <t>PH_hs_0012893</t>
  </si>
  <si>
    <t>KCTD3</t>
  </si>
  <si>
    <t>Homo sapiens potassium channel tetramerization domain containing 3 (KCTD3)</t>
  </si>
  <si>
    <t>NP_057205.2</t>
  </si>
  <si>
    <t>GPSM1</t>
  </si>
  <si>
    <t>Homo sapiens G-protein signaling modulator 1 (GPSM1)</t>
  </si>
  <si>
    <t>PH_hs_0012902</t>
  </si>
  <si>
    <t>MAB21L1</t>
  </si>
  <si>
    <t>Homo sapiens mab-21-like 1 (C. elegans)</t>
  </si>
  <si>
    <t>NP_005575.1</t>
  </si>
  <si>
    <t>ENST00000379919</t>
  </si>
  <si>
    <t>ENSP00000369251</t>
  </si>
  <si>
    <t>PH_hs_0012903</t>
  </si>
  <si>
    <t>DGKE</t>
  </si>
  <si>
    <t>NP_003638.1</t>
  </si>
  <si>
    <t>PH_hs_0012907</t>
  </si>
  <si>
    <t>SCRN2</t>
  </si>
  <si>
    <t>Homo sapiens secernin 2 (SCRN2)</t>
  </si>
  <si>
    <t>PH_hs_0012913</t>
  </si>
  <si>
    <t>C19orf43</t>
  </si>
  <si>
    <t>Homo sapiens chromosome 19 open reading frame 43 (C19orf43)</t>
  </si>
  <si>
    <t>NP_076943.1</t>
  </si>
  <si>
    <t>PH_hs_0012922</t>
  </si>
  <si>
    <t>HIST1H4E</t>
  </si>
  <si>
    <t>NP_003536.1</t>
  </si>
  <si>
    <t>ENST00000615164</t>
  </si>
  <si>
    <t>ENSP00000484789</t>
  </si>
  <si>
    <t>PH_hs_0012927</t>
  </si>
  <si>
    <t>NCBP2</t>
  </si>
  <si>
    <t>PH_hs_0012928</t>
  </si>
  <si>
    <t>ARHGEF26</t>
  </si>
  <si>
    <t>PH_hs_0012932</t>
  </si>
  <si>
    <t>ATPIF1</t>
  </si>
  <si>
    <t>Homo sapiens ATPase inhibitory factor 1 (ATPIF1)</t>
  </si>
  <si>
    <t>PH_hs_0012938</t>
  </si>
  <si>
    <t>TPSD1</t>
  </si>
  <si>
    <t>Homo sapiens tryptase delta 1 (TPSD1)</t>
  </si>
  <si>
    <t>NP_036349.1</t>
  </si>
  <si>
    <t>Homo sapiens polymerase (DNA-directed)</t>
  </si>
  <si>
    <t>PH_hs_0012993</t>
  </si>
  <si>
    <t>PH_hs_0013000</t>
  </si>
  <si>
    <t>NDRG2</t>
  </si>
  <si>
    <t>Homo sapiens NDRG family member 2 (NDRG2)</t>
  </si>
  <si>
    <t>MRPS14</t>
  </si>
  <si>
    <t>Homo sapiens mitochondrial ribosomal protein S14 (MRPS14)</t>
  </si>
  <si>
    <t>PH_hs_0013098</t>
  </si>
  <si>
    <t>GPANK1</t>
  </si>
  <si>
    <t>Homo sapiens G patch domain and ankyrin repeats 1 (GPANK1)</t>
  </si>
  <si>
    <t>PH_hs_0013103</t>
  </si>
  <si>
    <t>ADRA2B</t>
  </si>
  <si>
    <t>Homo sapiens adrenoceptor alpha 2B (ADRA2B)</t>
  </si>
  <si>
    <t>NP_000673.2</t>
  </si>
  <si>
    <t>ENST00000620793</t>
  </si>
  <si>
    <t>ENSP00000480573</t>
  </si>
  <si>
    <t>PPP1R9A</t>
  </si>
  <si>
    <t>PH_hs_0013112</t>
  </si>
  <si>
    <t>HIST1H2BK</t>
  </si>
  <si>
    <t>NP_542160.1</t>
  </si>
  <si>
    <t>ENST00000356950</t>
  </si>
  <si>
    <t>ENSP00000349430</t>
  </si>
  <si>
    <t>PH_hs_0013128</t>
  </si>
  <si>
    <t>KRTAP1-1</t>
  </si>
  <si>
    <t>Homo sapiens keratin associated protein 1-1 (KRTAP1-1)</t>
  </si>
  <si>
    <t>NP_112229.1</t>
  </si>
  <si>
    <t>ENST00000306271</t>
  </si>
  <si>
    <t>ENSP00000305975</t>
  </si>
  <si>
    <t>HOXA3</t>
  </si>
  <si>
    <t>Homo sapiens homeobox A3 (HOXA3)</t>
  </si>
  <si>
    <t>PH_hs_0013163</t>
  </si>
  <si>
    <t>KCNA10</t>
  </si>
  <si>
    <t>NP_005540.1</t>
  </si>
  <si>
    <t>ENST00000369771</t>
  </si>
  <si>
    <t>ENSP00000358786</t>
  </si>
  <si>
    <t>PH_hs_0013177</t>
  </si>
  <si>
    <t>HIST1H4D</t>
  </si>
  <si>
    <t>NP_003530.1</t>
  </si>
  <si>
    <t>ENST00000614247</t>
  </si>
  <si>
    <t>ENSP00000479461</t>
  </si>
  <si>
    <t>ERI2</t>
  </si>
  <si>
    <t>Homo sapiens ERI1 exoribonuclease family member 2 (ERI2)</t>
  </si>
  <si>
    <t>PH_hs_0013209</t>
  </si>
  <si>
    <t>ADRA2A</t>
  </si>
  <si>
    <t>Homo sapiens adrenoceptor alpha 2A (ADRA2A)</t>
  </si>
  <si>
    <t>NP_000672.3</t>
  </si>
  <si>
    <t>ENST00000280155</t>
  </si>
  <si>
    <t>ENSP00000280155</t>
  </si>
  <si>
    <t>PH_hs_0013215</t>
  </si>
  <si>
    <t>DLX6</t>
  </si>
  <si>
    <t>Homo sapiens distal-less homeobox 6 (DLX6)</t>
  </si>
  <si>
    <t>NP_005213.3</t>
  </si>
  <si>
    <t>PH_hs_0013216</t>
  </si>
  <si>
    <t>FGF19</t>
  </si>
  <si>
    <t>Homo sapiens fibroblast growth factor 19 (FGF19)</t>
  </si>
  <si>
    <t>NP_005108.1</t>
  </si>
  <si>
    <t>ENST00000294312</t>
  </si>
  <si>
    <t>ENSP00000294312</t>
  </si>
  <si>
    <t>WDR76</t>
  </si>
  <si>
    <t>Homo sapiens WD repeat domain 76 (WDR76)</t>
  </si>
  <si>
    <t>DHX33</t>
  </si>
  <si>
    <t>PH_hs_0013255</t>
  </si>
  <si>
    <t>EMC10</t>
  </si>
  <si>
    <t>Homo sapiens ER membrane protein complex subunit 10 (EMC10)</t>
  </si>
  <si>
    <t>PH_hs_0013259</t>
  </si>
  <si>
    <t>ZNF219</t>
  </si>
  <si>
    <t>Homo sapiens zinc finger protein 219 (ZNF219)</t>
  </si>
  <si>
    <t>PH_hs_0013260</t>
  </si>
  <si>
    <t>CA8</t>
  </si>
  <si>
    <t>Homo sapiens carbonic anhydrase VIII (CA8)</t>
  </si>
  <si>
    <t>NP_004047.3</t>
  </si>
  <si>
    <t>ENSP00000314407</t>
  </si>
  <si>
    <t>PH_hs_0013271</t>
  </si>
  <si>
    <t>KLHL26</t>
  </si>
  <si>
    <t>Homo sapiens kelch-like family member 26 (KLHL26)</t>
  </si>
  <si>
    <t>NP_060786.1</t>
  </si>
  <si>
    <t>TRPC1</t>
  </si>
  <si>
    <t>PH_hs_0013282</t>
  </si>
  <si>
    <t>KLK15</t>
  </si>
  <si>
    <t>Homo sapiens kallikrein-related peptidase 15 (KLK15)</t>
  </si>
  <si>
    <t>NP_059979.2</t>
  </si>
  <si>
    <t>PH_hs_0013413</t>
  </si>
  <si>
    <t>RIPPLY3</t>
  </si>
  <si>
    <t>Homo sapiens ripply transcriptional repressor 3 (RIPPLY3)</t>
  </si>
  <si>
    <t>NP_061835.1</t>
  </si>
  <si>
    <t>ENSP00000331734</t>
  </si>
  <si>
    <t>PH_hs_0013492</t>
  </si>
  <si>
    <t>C19orf48</t>
  </si>
  <si>
    <t>Homo sapiens chromosome 19 open reading frame 48 (C19orf48)</t>
  </si>
  <si>
    <t>PH_hs_0013494</t>
  </si>
  <si>
    <t>NUBP2</t>
  </si>
  <si>
    <t>Homo sapiens nucleotide binding protein 2 (NUBP2)</t>
  </si>
  <si>
    <t>NP_036357.1</t>
  </si>
  <si>
    <t>PH_hs_0013515</t>
  </si>
  <si>
    <t>MBLAC1</t>
  </si>
  <si>
    <t>Homo sapiens metallo-beta-lactamase domain containing 1 (MBLAC1)</t>
  </si>
  <si>
    <t>NP_981942.1</t>
  </si>
  <si>
    <t>PH_hs_0013577</t>
  </si>
  <si>
    <t>NSMCE4A</t>
  </si>
  <si>
    <t>Homo sapiens non-SMC element 4 homolog A (S. cerevisiae)</t>
  </si>
  <si>
    <t>PH_hs_0013578</t>
  </si>
  <si>
    <t>COPG2</t>
  </si>
  <si>
    <t>NP_036265.3</t>
  </si>
  <si>
    <t>CPT1A</t>
  </si>
  <si>
    <t>Homo sapiens carnitine palmitoyltransferase 1A (liver)</t>
  </si>
  <si>
    <t>NRAS</t>
  </si>
  <si>
    <t>Homo sapiens neuroblastoma RAS viral (v-ras)</t>
  </si>
  <si>
    <t>NP_002515.1</t>
  </si>
  <si>
    <t>ENST00000369535</t>
  </si>
  <si>
    <t>ENSP00000358548</t>
  </si>
  <si>
    <t>PH_hs_0013621</t>
  </si>
  <si>
    <t>DNAJC12</t>
  </si>
  <si>
    <t>PH_hs_0013622</t>
  </si>
  <si>
    <t>FAM84A</t>
  </si>
  <si>
    <t>NP_660158.2</t>
  </si>
  <si>
    <t>PH_hs_0013636</t>
  </si>
  <si>
    <t>IARS2</t>
  </si>
  <si>
    <t>NP_060530.3</t>
  </si>
  <si>
    <t>ENSP00000355889</t>
  </si>
  <si>
    <t>PH_hs_0013642</t>
  </si>
  <si>
    <t>CRISPLD2</t>
  </si>
  <si>
    <t>Homo sapiens cysteine-rich secretory protein LCCL domain containing 2 (CRISPLD2)</t>
  </si>
  <si>
    <t>NP_113664.1</t>
  </si>
  <si>
    <t>PH_hs_0013643</t>
  </si>
  <si>
    <t>TRPC4</t>
  </si>
  <si>
    <t>PH_hs_0013650</t>
  </si>
  <si>
    <t>TMIGD2</t>
  </si>
  <si>
    <t>Homo sapiens transmembrane and immunoglobulin domain containing 2 (TMIGD2)</t>
  </si>
  <si>
    <t>PH_hs_0013654</t>
  </si>
  <si>
    <t>NAAA</t>
  </si>
  <si>
    <t>Homo sapiens N-acylethanolamine acid amidase (NAAA)</t>
  </si>
  <si>
    <t>NP_001035861.1</t>
  </si>
  <si>
    <t>PH_hs_0013669</t>
  </si>
  <si>
    <t>PAG1</t>
  </si>
  <si>
    <t>Homo sapiens phosphoprotein membrane anchor with glycosphingolipid microdomains 1 (PAG1)</t>
  </si>
  <si>
    <t>NP_060910.3</t>
  </si>
  <si>
    <t>ENSP00000220597</t>
  </si>
  <si>
    <t>PH_hs_0013692</t>
  </si>
  <si>
    <t>MSANTD4</t>
  </si>
  <si>
    <t>Homo sapiens Myb/SANT-like DNA-binding domain containing 4 with coiled-coils (MSANTD4)</t>
  </si>
  <si>
    <t>NP_115800.1</t>
  </si>
  <si>
    <t>PH_hs_0013701</t>
  </si>
  <si>
    <t>DYNLT1</t>
  </si>
  <si>
    <t>NP_006510.1</t>
  </si>
  <si>
    <t>PH_hs_0013709</t>
  </si>
  <si>
    <t>POLA1</t>
  </si>
  <si>
    <t>NP_058633.2</t>
  </si>
  <si>
    <t>PH_hs_0013717</t>
  </si>
  <si>
    <t>SNX4</t>
  </si>
  <si>
    <t>Homo sapiens sorting nexin 4 (SNX4)</t>
  </si>
  <si>
    <t>PH_hs_0013741</t>
  </si>
  <si>
    <t>APOC1</t>
  </si>
  <si>
    <t>Homo sapiens apolipoprotein C-I (APOC1)</t>
  </si>
  <si>
    <t>NP_001636.1</t>
  </si>
  <si>
    <t>FLVCR1</t>
  </si>
  <si>
    <t>Homo sapiens feline leukemia virus subgroup C cellular receptor 1 (FLVCR1)</t>
  </si>
  <si>
    <t>NP_054772.1</t>
  </si>
  <si>
    <t>PH_hs_0013935</t>
  </si>
  <si>
    <t>KIF23</t>
  </si>
  <si>
    <t>Homo sapiens kinesin family member 23 (KIF23)</t>
  </si>
  <si>
    <t>PH_hs_0013993</t>
  </si>
  <si>
    <t>BPNT1</t>
  </si>
  <si>
    <t>Homo sapiens 3'(2')</t>
  </si>
  <si>
    <t>NP_006076.4</t>
  </si>
  <si>
    <t>PH_hs_0014005</t>
  </si>
  <si>
    <t>EN1</t>
  </si>
  <si>
    <t>Homo sapiens engrailed homeobox 1 (EN1)</t>
  </si>
  <si>
    <t>NP_001417.3</t>
  </si>
  <si>
    <t>ENSP00000295206</t>
  </si>
  <si>
    <t>PH_hs_0014034</t>
  </si>
  <si>
    <t>TRPM6</t>
  </si>
  <si>
    <t>PH_hs_0014050</t>
  </si>
  <si>
    <t>LRP5L</t>
  </si>
  <si>
    <t>Homo sapiens low density lipoprotein receptor-related protein 5-like (LRP5L)</t>
  </si>
  <si>
    <t>PH_hs_0014063</t>
  </si>
  <si>
    <t>ZNF571</t>
  </si>
  <si>
    <t>Homo sapiens zinc finger protein 571 (ZNF571)</t>
  </si>
  <si>
    <t>NP_057620.3</t>
  </si>
  <si>
    <t>PH_hs_0014077</t>
  </si>
  <si>
    <t>PPP3CA</t>
  </si>
  <si>
    <t>PH_hs_0014092</t>
  </si>
  <si>
    <t>BDP1</t>
  </si>
  <si>
    <t>NP_060899.2</t>
  </si>
  <si>
    <t>AHI1</t>
  </si>
  <si>
    <t>Homo sapiens Abelson helper integration site 1 (AHI1)</t>
  </si>
  <si>
    <t>PH_hs_0014105</t>
  </si>
  <si>
    <t>FGGY</t>
  </si>
  <si>
    <t>Homo sapiens FGGY carbohydrate kinase domain containing (FGGY)</t>
  </si>
  <si>
    <t>PH_hs_0014142</t>
  </si>
  <si>
    <t>EBF4</t>
  </si>
  <si>
    <t>Homo sapiens early B-cell factor 4 (EBF4)</t>
  </si>
  <si>
    <t>NP_001103984.1</t>
  </si>
  <si>
    <t>PH_hs_0014144</t>
  </si>
  <si>
    <t>IGFBP6</t>
  </si>
  <si>
    <t>Homo sapiens insulin-like growth factor binding protein 6 (IGFBP6)</t>
  </si>
  <si>
    <t>NP_002169.1</t>
  </si>
  <si>
    <t>PH_hs_0014145</t>
  </si>
  <si>
    <t>TP53TG1</t>
  </si>
  <si>
    <t>Homo sapiens TP53 target 1 (non-protein coding)</t>
  </si>
  <si>
    <t>PH_hs_0014146</t>
  </si>
  <si>
    <t>CPT2</t>
  </si>
  <si>
    <t>Homo sapiens carnitine palmitoyltransferase 2 (CPT2)</t>
  </si>
  <si>
    <t>NP_000089.1</t>
  </si>
  <si>
    <t>ENSP00000360541</t>
  </si>
  <si>
    <t>PH_hs_0014157</t>
  </si>
  <si>
    <t>PRSS16</t>
  </si>
  <si>
    <t>NP_005856.1</t>
  </si>
  <si>
    <t>PH_hs_0014159</t>
  </si>
  <si>
    <t>SCAND1</t>
  </si>
  <si>
    <t>Homo sapiens SCAN domain containing 1 (SCAND1)</t>
  </si>
  <si>
    <t>PH_hs_0014162</t>
  </si>
  <si>
    <t>NDUFA6</t>
  </si>
  <si>
    <t>NP_002481.2</t>
  </si>
  <si>
    <t>PH_hs_0014173</t>
  </si>
  <si>
    <t>SKIV2L2</t>
  </si>
  <si>
    <t>Homo sapiens superkiller viralicidic activity 2-like 2 (S. cerevisiae)</t>
  </si>
  <si>
    <t>NP_056175.3</t>
  </si>
  <si>
    <t>PH_hs_0014174</t>
  </si>
  <si>
    <t>GFM1</t>
  </si>
  <si>
    <t>NP_079272.4</t>
  </si>
  <si>
    <t>PH_hs_0014207</t>
  </si>
  <si>
    <t>LOC100996624</t>
  </si>
  <si>
    <t>PREDICTED: Homo sapiens uncharacterized LOC100996624 (LOC100996624)</t>
  </si>
  <si>
    <t>ENST00000432163</t>
  </si>
  <si>
    <t>PH_hs_0014217</t>
  </si>
  <si>
    <t>TRIML2</t>
  </si>
  <si>
    <t>Homo sapiens tripartite motif family-like 2 (TRIML2)</t>
  </si>
  <si>
    <t>NP_775824.2</t>
  </si>
  <si>
    <t>PH_hs_0014224</t>
  </si>
  <si>
    <t>CD52</t>
  </si>
  <si>
    <t>Homo sapiens CD52 molecule (CD52)</t>
  </si>
  <si>
    <t>NP_001794.2</t>
  </si>
  <si>
    <t>ENSP00000363330</t>
  </si>
  <si>
    <t>RNF125</t>
  </si>
  <si>
    <t>NP_060301.2</t>
  </si>
  <si>
    <t>IRAK3</t>
  </si>
  <si>
    <t>Homo sapiens interleukin-1 receptor-associated kinase 3 (IRAK3)</t>
  </si>
  <si>
    <t>PH_hs_0014265</t>
  </si>
  <si>
    <t>PLXNB1</t>
  </si>
  <si>
    <t>Homo sapiens plexin B1 (PLXNB1)</t>
  </si>
  <si>
    <t>PH_hs_0014268</t>
  </si>
  <si>
    <t>GPSM2</t>
  </si>
  <si>
    <t>Homo sapiens G-protein signaling modulator 2 (GPSM2)</t>
  </si>
  <si>
    <t>NP_037428.3</t>
  </si>
  <si>
    <t>PH_hs_0014271</t>
  </si>
  <si>
    <t>MEA1</t>
  </si>
  <si>
    <t>Homo sapiens male-enhanced antigen 1 (MEA1)</t>
  </si>
  <si>
    <t>NP_055438.1</t>
  </si>
  <si>
    <t>ENST00000244711</t>
  </si>
  <si>
    <t>ENSP00000244711</t>
  </si>
  <si>
    <t>PH_hs_0014274</t>
  </si>
  <si>
    <t>NCKAP1</t>
  </si>
  <si>
    <t>Homo sapiens NCK-associated protein 1 (NCKAP1)</t>
  </si>
  <si>
    <t>ACAT2</t>
  </si>
  <si>
    <t>Homo sapiens acetyl-CoA acetyltransferase 2 (ACAT2)</t>
  </si>
  <si>
    <t>NP_005882.2</t>
  </si>
  <si>
    <t>ENSP00000356015</t>
  </si>
  <si>
    <t>CAPRIN1</t>
  </si>
  <si>
    <t>Homo sapiens cell cycle associated protein 1 (CAPRIN1)</t>
  </si>
  <si>
    <t>NP_005889.3</t>
  </si>
  <si>
    <t>MCM9</t>
  </si>
  <si>
    <t>Homo sapiens minichromosome maintenance complex component 9 (MCM9)</t>
  </si>
  <si>
    <t>PH_hs_0014378</t>
  </si>
  <si>
    <t>MRPL4</t>
  </si>
  <si>
    <t>Homo sapiens mitochondrial ribosomal protein L4 (MRPL4)</t>
  </si>
  <si>
    <t>PH_hs_0014423</t>
  </si>
  <si>
    <t>TRAPPC4</t>
  </si>
  <si>
    <t>Homo sapiens trafficking protein particle complex 4 (TRAPPC4)</t>
  </si>
  <si>
    <t>NP_057230.1</t>
  </si>
  <si>
    <t>PH_hs_0014426</t>
  </si>
  <si>
    <t>PH_hs_0014427</t>
  </si>
  <si>
    <t>ATOX1</t>
  </si>
  <si>
    <t>Homo sapiens antioxidant 1 copper chaperone (ATOX1)</t>
  </si>
  <si>
    <t>NP_004036.1</t>
  </si>
  <si>
    <t>PH_hs_0014453</t>
  </si>
  <si>
    <t>TNKS2</t>
  </si>
  <si>
    <t>NP_079511.1</t>
  </si>
  <si>
    <t>ENST00000371627</t>
  </si>
  <si>
    <t>ENSP00000360689</t>
  </si>
  <si>
    <t>PH_hs_0014466</t>
  </si>
  <si>
    <t>FOXN3-AS1</t>
  </si>
  <si>
    <t>Homo sapiens FOXN3 antisense RNA 1 (FOXN3-AS1)</t>
  </si>
  <si>
    <t>ENST00000555562</t>
  </si>
  <si>
    <t>PH_hs_0014577</t>
  </si>
  <si>
    <t>SLC25A18</t>
  </si>
  <si>
    <t>Homo sapiens solute carrier family 25 (glutamate carrier)</t>
  </si>
  <si>
    <t>NP_113669.1</t>
  </si>
  <si>
    <t>SEC62</t>
  </si>
  <si>
    <t>Homo sapiens SEC62 homolog (S. cerevisiae)</t>
  </si>
  <si>
    <t>NP_003253.1</t>
  </si>
  <si>
    <t>PH_hs_0014646</t>
  </si>
  <si>
    <t>PH_hs_0014671</t>
  </si>
  <si>
    <t>CHODL</t>
  </si>
  <si>
    <t>Homo sapiens chondrolectin (CHODL)</t>
  </si>
  <si>
    <t>GJA3</t>
  </si>
  <si>
    <t>NP_068773.2</t>
  </si>
  <si>
    <t>ENST00000241125</t>
  </si>
  <si>
    <t>ENSP00000241125</t>
  </si>
  <si>
    <t>PH_hs_0014690</t>
  </si>
  <si>
    <t>GRIN3A</t>
  </si>
  <si>
    <t>NP_597702.2</t>
  </si>
  <si>
    <t>ENSP00000355155</t>
  </si>
  <si>
    <t>PH_hs_0014692</t>
  </si>
  <si>
    <t>SLC52A3</t>
  </si>
  <si>
    <t>NP_212134.3</t>
  </si>
  <si>
    <t>PH_hs_0014698</t>
  </si>
  <si>
    <t>CCDC85A</t>
  </si>
  <si>
    <t>Homo sapiens coiled-coil domain containing 85A (CCDC85A)</t>
  </si>
  <si>
    <t>NP_001073902.1</t>
  </si>
  <si>
    <t>ENST00000407595</t>
  </si>
  <si>
    <t>ENSP00000384040</t>
  </si>
  <si>
    <t>PH_hs_0014704</t>
  </si>
  <si>
    <t>ENAM</t>
  </si>
  <si>
    <t>Homo sapiens enamelin (ENAM)</t>
  </si>
  <si>
    <t>NP_114095.2</t>
  </si>
  <si>
    <t>ENSP00000379383</t>
  </si>
  <si>
    <t>PH_hs_0014708</t>
  </si>
  <si>
    <t>WIF1</t>
  </si>
  <si>
    <t>Homo sapiens WNT inhibitory factor 1 (WIF1)</t>
  </si>
  <si>
    <t>NP_009122.2</t>
  </si>
  <si>
    <t>PH_hs_0014713</t>
  </si>
  <si>
    <t>PLEKHH1</t>
  </si>
  <si>
    <t>NP_065766.1</t>
  </si>
  <si>
    <t>PH_hs_0014726</t>
  </si>
  <si>
    <t>NTMT1</t>
  </si>
  <si>
    <t>Homo sapiens N-terminal Xaa-Pro-Lys N-methyltransferase 1 (NTMT1)</t>
  </si>
  <si>
    <t>NP_054783.2</t>
  </si>
  <si>
    <t>PH_hs_0014733</t>
  </si>
  <si>
    <t>MRPS24|URGCP-MRPS24</t>
  </si>
  <si>
    <t>Homo sapiens mitochondrial ribosomal protein S24 (MRPS24)|Homo sapiens URGCP-MRPS24 readthrough (URGCP-MRPS24)</t>
  </si>
  <si>
    <t>64951|100534592</t>
  </si>
  <si>
    <t>NM_032014|NM_001204871</t>
  </si>
  <si>
    <t>NP_114403.1|NP_001191800.1</t>
  </si>
  <si>
    <t>ENSG00000062582|ENSG00000270617</t>
  </si>
  <si>
    <t>PH_hs_0014736</t>
  </si>
  <si>
    <t>UQCR10</t>
  </si>
  <si>
    <t>PH_hs_0014754</t>
  </si>
  <si>
    <t>FTO</t>
  </si>
  <si>
    <t>Homo sapiens fat mass and obesity associated (FTO)</t>
  </si>
  <si>
    <t>NP_001073901.1</t>
  </si>
  <si>
    <t>TOMM22</t>
  </si>
  <si>
    <t>Homo sapiens translocase of outer mitochondrial membrane 22 homolog (yeast)</t>
  </si>
  <si>
    <t>NP_064628.1</t>
  </si>
  <si>
    <t>ENSP00000216034</t>
  </si>
  <si>
    <t>PH_hs_0014765</t>
  </si>
  <si>
    <t>IL13RA1</t>
  </si>
  <si>
    <t>NP_001551.1</t>
  </si>
  <si>
    <t>PH_hs_0014796</t>
  </si>
  <si>
    <t>SCOC</t>
  </si>
  <si>
    <t>Homo sapiens short coiled-coil protein (SCOC)</t>
  </si>
  <si>
    <t>PH_hs_0014900</t>
  </si>
  <si>
    <t>MIA2</t>
  </si>
  <si>
    <t>Homo sapiens melanoma inhibitory activity 2 (MIA2)</t>
  </si>
  <si>
    <t>NP_473365.3</t>
  </si>
  <si>
    <t>PH_hs_0014913</t>
  </si>
  <si>
    <t>CCDC170</t>
  </si>
  <si>
    <t>Homo sapiens coiled-coil domain containing 170 (CCDC170)</t>
  </si>
  <si>
    <t>NP_079335.2</t>
  </si>
  <si>
    <t>ENSP00000239374</t>
  </si>
  <si>
    <t>PH_hs_0014922</t>
  </si>
  <si>
    <t>PLEKHA1</t>
  </si>
  <si>
    <t>PH_hs_0014939</t>
  </si>
  <si>
    <t>SECISBP2</t>
  </si>
  <si>
    <t>Homo sapiens SECIS binding protein 2 (SECISBP2)</t>
  </si>
  <si>
    <t>NP_076982.3</t>
  </si>
  <si>
    <t>PH_hs_0014991</t>
  </si>
  <si>
    <t>EFNA5</t>
  </si>
  <si>
    <t>Homo sapiens ephrin-A5 (EFNA5)</t>
  </si>
  <si>
    <t>NP_001953.1</t>
  </si>
  <si>
    <t>PH_hs_0014992</t>
  </si>
  <si>
    <t>CNST</t>
  </si>
  <si>
    <t>NP_689822.2</t>
  </si>
  <si>
    <t>PH_hs_0014995</t>
  </si>
  <si>
    <t>METTL7A</t>
  </si>
  <si>
    <t>Homo sapiens methyltransferase like 7A (METTL7A)</t>
  </si>
  <si>
    <t>NP_054752.3</t>
  </si>
  <si>
    <t>PH_hs_0015013</t>
  </si>
  <si>
    <t>NAA50</t>
  </si>
  <si>
    <t>NP_079422.1</t>
  </si>
  <si>
    <t>PH_hs_0015017</t>
  </si>
  <si>
    <t>C3orf58</t>
  </si>
  <si>
    <t>Homo sapiens chromosome 3 open reading frame 58 (C3orf58)</t>
  </si>
  <si>
    <t>PH_hs_0015021</t>
  </si>
  <si>
    <t>NUBPL</t>
  </si>
  <si>
    <t>Homo sapiens nucleotide binding protein-like (NUBPL)</t>
  </si>
  <si>
    <t>PH_hs_0015025</t>
  </si>
  <si>
    <t>GPX8</t>
  </si>
  <si>
    <t>Homo sapiens glutathione peroxidase 8 (putative)</t>
  </si>
  <si>
    <t>NP_001008398.2</t>
  </si>
  <si>
    <t>PH_hs_0015027</t>
  </si>
  <si>
    <t>BCL2L12</t>
  </si>
  <si>
    <t>Homo sapiens BCL2-like 12 (proline rich)</t>
  </si>
  <si>
    <t>PH_hs_0015034</t>
  </si>
  <si>
    <t>EMID1</t>
  </si>
  <si>
    <t>Homo sapiens EMI domain containing 1 (EMID1)</t>
  </si>
  <si>
    <t>PH_hs_0015035</t>
  </si>
  <si>
    <t>BIRC2</t>
  </si>
  <si>
    <t>Homo sapiens baculoviral IAP repeat containing 2 (BIRC2)</t>
  </si>
  <si>
    <t>PH_hs_0015079</t>
  </si>
  <si>
    <t>PPM1K</t>
  </si>
  <si>
    <t>NP_689755.3</t>
  </si>
  <si>
    <t>PH_hs_0015107</t>
  </si>
  <si>
    <t>TNKS2-AS1</t>
  </si>
  <si>
    <t>Homo sapiens TNKS2 antisense RNA 1 (head to head)</t>
  </si>
  <si>
    <t>PH_hs_0015228</t>
  </si>
  <si>
    <t>VSIG10L</t>
  </si>
  <si>
    <t>Homo sapiens V-set and immunoglobulin domain containing 10 like (VSIG10L)</t>
  </si>
  <si>
    <t>NP_001157394.1</t>
  </si>
  <si>
    <t>PH_hs_0015274</t>
  </si>
  <si>
    <t>PIEZO2</t>
  </si>
  <si>
    <t>Homo sapiens piezo-type mechanosensitive ion channel component 2 (PIEZO2)</t>
  </si>
  <si>
    <t>NP_071351.2</t>
  </si>
  <si>
    <t>PH_hs_0015290</t>
  </si>
  <si>
    <t>PAPD5</t>
  </si>
  <si>
    <t>Homo sapiens PAP associated domain containing 5 (PAPD5)</t>
  </si>
  <si>
    <t>PH_hs_0015296</t>
  </si>
  <si>
    <t>GLRX5</t>
  </si>
  <si>
    <t>Homo sapiens glutaredoxin 5 (GLRX5)</t>
  </si>
  <si>
    <t>NP_057501.2</t>
  </si>
  <si>
    <t>PH_hs_0015307</t>
  </si>
  <si>
    <t>HEBP1</t>
  </si>
  <si>
    <t>Homo sapiens heme binding protein 1 (HEBP1)</t>
  </si>
  <si>
    <t>NP_057071.2</t>
  </si>
  <si>
    <t>PH_hs_0015323</t>
  </si>
  <si>
    <t>SNHG8</t>
  </si>
  <si>
    <t>Homo sapiens small nucleolar RNA host gene 8 (SNHG8)</t>
  </si>
  <si>
    <t>PH_hs_0015330</t>
  </si>
  <si>
    <t>FAM168B</t>
  </si>
  <si>
    <t>NP_001009993.2</t>
  </si>
  <si>
    <t>PH_hs_0015355</t>
  </si>
  <si>
    <t>RFXANK</t>
  </si>
  <si>
    <t>Homo sapiens regulatory factor X-associated ankyrin-containing protein (RFXANK)</t>
  </si>
  <si>
    <t>PH_hs_0015396</t>
  </si>
  <si>
    <t>ZNF235</t>
  </si>
  <si>
    <t>Homo sapiens zinc finger protein 235 (ZNF235)</t>
  </si>
  <si>
    <t>NP_004225.3</t>
  </si>
  <si>
    <t>PH_hs_0015407</t>
  </si>
  <si>
    <t>SLC38A2</t>
  </si>
  <si>
    <t>NP_061849.2</t>
  </si>
  <si>
    <t>PH_hs_0015451</t>
  </si>
  <si>
    <t>FNDC3B</t>
  </si>
  <si>
    <t>Homo sapiens fibronectin type III domain containing 3B (FNDC3B)</t>
  </si>
  <si>
    <t>PH_hs_0015468</t>
  </si>
  <si>
    <t>TARDBP</t>
  </si>
  <si>
    <t>Homo sapiens TAR DNA binding protein (TARDBP)</t>
  </si>
  <si>
    <t>NP_031401.1</t>
  </si>
  <si>
    <t>PH_hs_0015474</t>
  </si>
  <si>
    <t>CRCP</t>
  </si>
  <si>
    <t>Homo sapiens CGRP receptor component (CRCP)</t>
  </si>
  <si>
    <t>PH_hs_0015476</t>
  </si>
  <si>
    <t>SCN3A</t>
  </si>
  <si>
    <t>PH_hs_0015480</t>
  </si>
  <si>
    <t>TPM2</t>
  </si>
  <si>
    <t>Homo sapiens tropomyosin 2 (beta)</t>
  </si>
  <si>
    <t>PH_hs_0015489</t>
  </si>
  <si>
    <t>L3MBTL1</t>
  </si>
  <si>
    <t>PH_hs_0015556</t>
  </si>
  <si>
    <t>RPS6KA2</t>
  </si>
  <si>
    <t>PH_hs_0015567</t>
  </si>
  <si>
    <t>ZNF146</t>
  </si>
  <si>
    <t>Homo sapiens zinc finger protein 146 (ZNF146)</t>
  </si>
  <si>
    <t>PH_hs_0015581</t>
  </si>
  <si>
    <t>ZBTB11</t>
  </si>
  <si>
    <t>Homo sapiens zinc finger and BTB domain containing 11 (ZBTB11)</t>
  </si>
  <si>
    <t>NP_055230.2</t>
  </si>
  <si>
    <t>PROSC</t>
  </si>
  <si>
    <t>Homo sapiens proline synthetase co-transcribed homolog (bacterial)</t>
  </si>
  <si>
    <t>NP_009129.1</t>
  </si>
  <si>
    <t>PH_hs_0015585</t>
  </si>
  <si>
    <t>LRP12</t>
  </si>
  <si>
    <t>Homo sapiens low density lipoprotein receptor-related protein 12 (LRP12)</t>
  </si>
  <si>
    <t>PH_hs_0015600</t>
  </si>
  <si>
    <t>NDST4</t>
  </si>
  <si>
    <t>NP_072091.1</t>
  </si>
  <si>
    <t>PH_hs_0015628</t>
  </si>
  <si>
    <t>FZD8</t>
  </si>
  <si>
    <t>Homo sapiens frizzled class receptor 8 (FZD8)</t>
  </si>
  <si>
    <t>NP_114072.1</t>
  </si>
  <si>
    <t>ENST00000374694</t>
  </si>
  <si>
    <t>ENSP00000363826</t>
  </si>
  <si>
    <t>PH_hs_0015635</t>
  </si>
  <si>
    <t>PH_hs_0015639</t>
  </si>
  <si>
    <t>GLIPR2</t>
  </si>
  <si>
    <t>Homo sapiens GLI pathogenesis-related 2 (GLIPR2)</t>
  </si>
  <si>
    <t>NP_071738.1</t>
  </si>
  <si>
    <t>PH_hs_0015648</t>
  </si>
  <si>
    <t>APLN</t>
  </si>
  <si>
    <t>Homo sapiens apelin (APLN)</t>
  </si>
  <si>
    <t>NP_059109.3</t>
  </si>
  <si>
    <t>ENST00000429967</t>
  </si>
  <si>
    <t>ENSP00000391800</t>
  </si>
  <si>
    <t>PH_hs_0015651</t>
  </si>
  <si>
    <t>SDF2L1</t>
  </si>
  <si>
    <t>Homo sapiens stromal cell-derived factor 2-like 1 (SDF2L1)</t>
  </si>
  <si>
    <t>NP_071327.2</t>
  </si>
  <si>
    <t>ENSP00000248958</t>
  </si>
  <si>
    <t>PH_hs_0015664</t>
  </si>
  <si>
    <t>CCL2</t>
  </si>
  <si>
    <t>NP_002973.1</t>
  </si>
  <si>
    <t>PH_hs_0015697</t>
  </si>
  <si>
    <t>KRBA2</t>
  </si>
  <si>
    <t>Homo sapiens KRAB-A domain containing 2 (KRBA2)</t>
  </si>
  <si>
    <t>NP_998762.1</t>
  </si>
  <si>
    <t>Homo sapiens solute carrier family 4 (anion exchanger)</t>
  </si>
  <si>
    <t>PH_hs_0015720</t>
  </si>
  <si>
    <t>EP400</t>
  </si>
  <si>
    <t>Homo sapiens E1A binding protein p400 (EP400)</t>
  </si>
  <si>
    <t>NP_056224.3</t>
  </si>
  <si>
    <t>PH_hs_0015735</t>
  </si>
  <si>
    <t>RAB3GAP1</t>
  </si>
  <si>
    <t>Homo sapiens RAB3 GTPase activating protein subunit 1 (catalytic)</t>
  </si>
  <si>
    <t>PH_hs_0015747</t>
  </si>
  <si>
    <t>IBTK</t>
  </si>
  <si>
    <t>Homo sapiens inhibitor of Bruton agammaglobulinemia tyrosine kinase (IBTK)</t>
  </si>
  <si>
    <t>NP_056340.2</t>
  </si>
  <si>
    <t>PH_hs_0015804</t>
  </si>
  <si>
    <t>ASXL3</t>
  </si>
  <si>
    <t>Homo sapiens additional sex combs like transcriptional regulator 3 (ASXL3)</t>
  </si>
  <si>
    <t>NP_085135.1</t>
  </si>
  <si>
    <t>PH_hs_0015812</t>
  </si>
  <si>
    <t>KRTAP3-2</t>
  </si>
  <si>
    <t>Homo sapiens keratin associated protein 3-2 (KRTAP3-2)</t>
  </si>
  <si>
    <t>NP_114165.1</t>
  </si>
  <si>
    <t>ENST00000575409</t>
  </si>
  <si>
    <t>ENSP00000459215</t>
  </si>
  <si>
    <t>NXNL2</t>
  </si>
  <si>
    <t>Homo sapiens nucleoredoxin-like 2 (NXNL2)</t>
  </si>
  <si>
    <t>PH_hs_0015861</t>
  </si>
  <si>
    <t>SLC27A5</t>
  </si>
  <si>
    <t>NP_036386.1</t>
  </si>
  <si>
    <t>PH_hs_0015881</t>
  </si>
  <si>
    <t>STMN1</t>
  </si>
  <si>
    <t>Homo sapiens stathmin 1 (STMN1)</t>
  </si>
  <si>
    <t>NP_001138926.1</t>
  </si>
  <si>
    <t>PH_hs_0015916</t>
  </si>
  <si>
    <t>SDHAF2</t>
  </si>
  <si>
    <t>Homo sapiens succinate dehydrogenase complex assembly factor 2 (SDHAF2)</t>
  </si>
  <si>
    <t>NP_060311.1</t>
  </si>
  <si>
    <t>PH_hs_0015935</t>
  </si>
  <si>
    <t>NAA25</t>
  </si>
  <si>
    <t>NP_079229.2</t>
  </si>
  <si>
    <t>PH_hs_0015983</t>
  </si>
  <si>
    <t>LINC00632</t>
  </si>
  <si>
    <t>Homo sapiens long intergenic non-protein coding RNA 632 (LINC00632)</t>
  </si>
  <si>
    <t>PH_hs_0016015</t>
  </si>
  <si>
    <t>NP_694987.1</t>
  </si>
  <si>
    <t>PH_hs_0016060</t>
  </si>
  <si>
    <t>SLC43A2</t>
  </si>
  <si>
    <t>Homo sapiens solute carrier family 43 (amino acid system L transporter)</t>
  </si>
  <si>
    <t>NP_689559.1</t>
  </si>
  <si>
    <t>PH_hs_0016082</t>
  </si>
  <si>
    <t>UTP3</t>
  </si>
  <si>
    <t>NP_065101.1</t>
  </si>
  <si>
    <t>ENST00000254803</t>
  </si>
  <si>
    <t>ENSP00000254803</t>
  </si>
  <si>
    <t>PH_hs_0016139</t>
  </si>
  <si>
    <t>ADD3</t>
  </si>
  <si>
    <t>Homo sapiens adducin 3 (gamma)</t>
  </si>
  <si>
    <t>PH_hs_0016152</t>
  </si>
  <si>
    <t>FAM73B</t>
  </si>
  <si>
    <t>NP_116198.2</t>
  </si>
  <si>
    <t>PH_hs_0016183</t>
  </si>
  <si>
    <t>NOL12</t>
  </si>
  <si>
    <t>Homo sapiens nucleolar protein 12 (NOL12)</t>
  </si>
  <si>
    <t>NP_077289.1</t>
  </si>
  <si>
    <t>PH_hs_0016189</t>
  </si>
  <si>
    <t>CRTAC1</t>
  </si>
  <si>
    <t>Homo sapiens cartilage acidic protein 1 (CRTAC1)</t>
  </si>
  <si>
    <t>NP_060528.3</t>
  </si>
  <si>
    <t>PH_hs_0016196</t>
  </si>
  <si>
    <t>MCF2L-AS1</t>
  </si>
  <si>
    <t>Homo sapiens MCF2L antisense RNA 1 (MCF2L-AS1)</t>
  </si>
  <si>
    <t>PH_hs_0016198</t>
  </si>
  <si>
    <t>TRPT1</t>
  </si>
  <si>
    <t>Homo sapiens tRNA phosphotransferase 1 (TRPT1)</t>
  </si>
  <si>
    <t>PH_hs_0016293</t>
  </si>
  <si>
    <t>USP38</t>
  </si>
  <si>
    <t>Homo sapiens ubiquitin specific peptidase 38 (USP38)</t>
  </si>
  <si>
    <t>NP_115946.2</t>
  </si>
  <si>
    <t>IFT81</t>
  </si>
  <si>
    <t>Homo sapiens intraflagellar transport 81 (IFT81)</t>
  </si>
  <si>
    <t>PH_hs_0016345</t>
  </si>
  <si>
    <t>MIEN1</t>
  </si>
  <si>
    <t>Homo sapiens migration and invasion enhancer 1 (MIEN1)</t>
  </si>
  <si>
    <t>NP_115715.3</t>
  </si>
  <si>
    <t>PH_hs_0016378</t>
  </si>
  <si>
    <t>CDH12</t>
  </si>
  <si>
    <t>NP_004052.2</t>
  </si>
  <si>
    <t>C12orf71</t>
  </si>
  <si>
    <t>Homo sapiens chromosome 12 open reading frame 71 (C12orf71)</t>
  </si>
  <si>
    <t>NP_001073875.1</t>
  </si>
  <si>
    <t>ENST00000429849</t>
  </si>
  <si>
    <t>ENSP00000413728</t>
  </si>
  <si>
    <t>PH_hs_0016413</t>
  </si>
  <si>
    <t>BEX1</t>
  </si>
  <si>
    <t>NP_060946.3</t>
  </si>
  <si>
    <t>ENST00000372728</t>
  </si>
  <si>
    <t>ENSP00000361813</t>
  </si>
  <si>
    <t>PH_hs_0016425</t>
  </si>
  <si>
    <t>HMCN1</t>
  </si>
  <si>
    <t>Homo sapiens hemicentin 1 (HMCN1)</t>
  </si>
  <si>
    <t>NP_114141.2</t>
  </si>
  <si>
    <t>PH_hs_0016445</t>
  </si>
  <si>
    <t>ZNF626</t>
  </si>
  <si>
    <t>Homo sapiens zinc finger protein 626 (ZNF626)</t>
  </si>
  <si>
    <t>NP_660340.1</t>
  </si>
  <si>
    <t>SF3B1</t>
  </si>
  <si>
    <t>NP_036565.2</t>
  </si>
  <si>
    <t>PH_hs_0016486</t>
  </si>
  <si>
    <t>LASP1</t>
  </si>
  <si>
    <t>Homo sapiens LIM and SH3 protein 1 (LASP1)</t>
  </si>
  <si>
    <t>PH_hs_0016489</t>
  </si>
  <si>
    <t>DTX3L</t>
  </si>
  <si>
    <t>NP_612144.1</t>
  </si>
  <si>
    <t>ENSP00000296877</t>
  </si>
  <si>
    <t>PH_hs_0016616</t>
  </si>
  <si>
    <t>PRPF38B</t>
  </si>
  <si>
    <t>Homo sapiens pre-mRNA processing factor 38B (PRPF38B)</t>
  </si>
  <si>
    <t>PH_hs_0016637</t>
  </si>
  <si>
    <t>MRPL14</t>
  </si>
  <si>
    <t>Homo sapiens mitochondrial ribosomal protein L14 (MRPL14)</t>
  </si>
  <si>
    <t>NP_115487.2</t>
  </si>
  <si>
    <t>ENST00000372014</t>
  </si>
  <si>
    <t>ENSP00000361084</t>
  </si>
  <si>
    <t>EXOSC4</t>
  </si>
  <si>
    <t>Homo sapiens exosome component 4 (EXOSC4)</t>
  </si>
  <si>
    <t>NP_061910.1</t>
  </si>
  <si>
    <t>PH_hs_0016696</t>
  </si>
  <si>
    <t>KCNC2</t>
  </si>
  <si>
    <t>PH_hs_0016729</t>
  </si>
  <si>
    <t>CRABP1</t>
  </si>
  <si>
    <t>Homo sapiens cellular retinoic acid binding protein 1 (CRABP1)</t>
  </si>
  <si>
    <t>NP_004369.1</t>
  </si>
  <si>
    <t>PH_hs_0016741</t>
  </si>
  <si>
    <t>RMI2</t>
  </si>
  <si>
    <t>Homo sapiens RecQ mediated genome instability 2 (RMI2)</t>
  </si>
  <si>
    <t>NP_689521.1</t>
  </si>
  <si>
    <t>Homo sapiens solute carrier family 20 (phosphate transporter)</t>
  </si>
  <si>
    <t>PH_hs_0016779</t>
  </si>
  <si>
    <t>KCNMB4</t>
  </si>
  <si>
    <t>Homo sapiens potassium channel subfamily M regulatory beta subunit 4 (KCNMB4)</t>
  </si>
  <si>
    <t>NP_055320.4</t>
  </si>
  <si>
    <t>PH_hs_0016786</t>
  </si>
  <si>
    <t>SYNC</t>
  </si>
  <si>
    <t>PH_hs_0016832</t>
  </si>
  <si>
    <t>FOXC1</t>
  </si>
  <si>
    <t>Homo sapiens forkhead box C1 (FOXC1)</t>
  </si>
  <si>
    <t>NP_001444.2</t>
  </si>
  <si>
    <t>ENST00000380874</t>
  </si>
  <si>
    <t>ENSP00000370256</t>
  </si>
  <si>
    <t>PH_hs_0016833</t>
  </si>
  <si>
    <t>ACADS</t>
  </si>
  <si>
    <t>NP_000008.1</t>
  </si>
  <si>
    <t>PH_hs_0016845</t>
  </si>
  <si>
    <t>LINC00493</t>
  </si>
  <si>
    <t>Homo sapiens long intergenic non-protein coding RNA 493 (LINC00493)</t>
  </si>
  <si>
    <t>AS3MT|C10orf32-ASMT</t>
  </si>
  <si>
    <t>Homo sapiens arsenite methyltransferase (AS3MT)|Homo sapiens C10orf32-ASMT readthrough (NMD candidate)</t>
  </si>
  <si>
    <t>57412|100528007</t>
  </si>
  <si>
    <t>NM_020682|NR_037644</t>
  </si>
  <si>
    <t>NP_065733.2|-</t>
  </si>
  <si>
    <t>PH_hs_0016859</t>
  </si>
  <si>
    <t>ZNF558</t>
  </si>
  <si>
    <t>Homo sapiens zinc finger protein 558 (ZNF558)</t>
  </si>
  <si>
    <t>NP_653294.1</t>
  </si>
  <si>
    <t>PH_hs_0016913</t>
  </si>
  <si>
    <t>ISCU</t>
  </si>
  <si>
    <t>Homo sapiens iron-sulfur cluster assembly enzyme (ISCU)</t>
  </si>
  <si>
    <t>PH_hs_0016939</t>
  </si>
  <si>
    <t>SLC25A6</t>
  </si>
  <si>
    <t>NP_001627.2</t>
  </si>
  <si>
    <t>ENSP00000370808</t>
  </si>
  <si>
    <t>PH_hs_0016972</t>
  </si>
  <si>
    <t>ENSG00000140365</t>
  </si>
  <si>
    <t>ATP6V0E2</t>
  </si>
  <si>
    <t>PH_hs_0017001</t>
  </si>
  <si>
    <t>LAMTOR2</t>
  </si>
  <si>
    <t>PH_hs_0017021</t>
  </si>
  <si>
    <t>TST</t>
  </si>
  <si>
    <t>Homo sapiens thiosulfate sulfurtransferase (rhodanese)</t>
  </si>
  <si>
    <t>ADAMTS14</t>
  </si>
  <si>
    <t>PH_hs_0017050</t>
  </si>
  <si>
    <t>LINC00656</t>
  </si>
  <si>
    <t>Homo sapiens long intergenic non-protein coding RNA 656 (LINC00656)</t>
  </si>
  <si>
    <t>ENST00000443744</t>
  </si>
  <si>
    <t>PH_hs_0017079</t>
  </si>
  <si>
    <t>IGFLR1</t>
  </si>
  <si>
    <t>Homo sapiens IGF-like family receptor 1 (IGFLR1)</t>
  </si>
  <si>
    <t>NP_078936.1</t>
  </si>
  <si>
    <t>PH_hs_0017080</t>
  </si>
  <si>
    <t>CDC42EP3</t>
  </si>
  <si>
    <t>PXMP4</t>
  </si>
  <si>
    <t>PH_hs_0017190</t>
  </si>
  <si>
    <t>TMC4</t>
  </si>
  <si>
    <t>Homo sapiens transmembrane channel-like 4 (TMC4)</t>
  </si>
  <si>
    <t>PH_hs_0017223</t>
  </si>
  <si>
    <t>RPAIN</t>
  </si>
  <si>
    <t>Homo sapiens RPA interacting protein (RPAIN)</t>
  </si>
  <si>
    <t>PH_hs_0017242</t>
  </si>
  <si>
    <t>MZT2B|MZT2A</t>
  </si>
  <si>
    <t>Homo sapiens mitotic spindle organizing protein 2B (MZT2B)|Homo sapiens mitotic spindle organizing protein 2A (MZT2A)</t>
  </si>
  <si>
    <t>80097|653784</t>
  </si>
  <si>
    <t>NM_025029|NM_001085365</t>
  </si>
  <si>
    <t>NP_079305.2|NP_001078834.1</t>
  </si>
  <si>
    <t>ENSG00000152082|ENSG00000173272</t>
  </si>
  <si>
    <t>PH_hs_0017252</t>
  </si>
  <si>
    <t>SRGAP1</t>
  </si>
  <si>
    <t>Homo sapiens SLIT-ROBO Rho GTPase activating protein 1 (SRGAP1)</t>
  </si>
  <si>
    <t>NP_065813.1</t>
  </si>
  <si>
    <t>PH_hs_0017263</t>
  </si>
  <si>
    <t>UBB</t>
  </si>
  <si>
    <t>Homo sapiens ubiquitin B (UBB)</t>
  </si>
  <si>
    <t>NP_061828.1</t>
  </si>
  <si>
    <t>PH_hs_0017264</t>
  </si>
  <si>
    <t>EXOC8</t>
  </si>
  <si>
    <t>Homo sapiens exocyst complex component 8 (EXOC8)</t>
  </si>
  <si>
    <t>NP_787072.2</t>
  </si>
  <si>
    <t>ENST00000366645</t>
  </si>
  <si>
    <t>ENSP00000355605</t>
  </si>
  <si>
    <t>PH_hs_0017279</t>
  </si>
  <si>
    <t>RPL28</t>
  </si>
  <si>
    <t>Homo sapiens ribosomal protein L28 (RPL28)</t>
  </si>
  <si>
    <t>PH_hs_0017280</t>
  </si>
  <si>
    <t>RNF187</t>
  </si>
  <si>
    <t>Homo sapiens ring finger protein 187 (RNF187)</t>
  </si>
  <si>
    <t>NP_001010858.2</t>
  </si>
  <si>
    <t>ENSP00000306396</t>
  </si>
  <si>
    <t>PH_hs_0017283</t>
  </si>
  <si>
    <t>PDPR</t>
  </si>
  <si>
    <t>Homo sapiens pyruvate dehydrogenase phosphatase regulatory subunit (PDPR)</t>
  </si>
  <si>
    <t>NP_060460.4</t>
  </si>
  <si>
    <t>PH_hs_0017288</t>
  </si>
  <si>
    <t>CHD2</t>
  </si>
  <si>
    <t>Homo sapiens chromodomain helicase DNA binding protein 2 (CHD2)</t>
  </si>
  <si>
    <t>NP_001262.3</t>
  </si>
  <si>
    <t>PH_hs_0017295</t>
  </si>
  <si>
    <t>MRPL54</t>
  </si>
  <si>
    <t>Homo sapiens mitochondrial ribosomal protein L54 (MRPL54)</t>
  </si>
  <si>
    <t>NP_758455.1</t>
  </si>
  <si>
    <t>PH_hs_0017297</t>
  </si>
  <si>
    <t>COMMD6</t>
  </si>
  <si>
    <t>Homo sapiens COMM domain containing 6 (COMMD6)</t>
  </si>
  <si>
    <t>PH_hs_0017308</t>
  </si>
  <si>
    <t>TMEM141</t>
  </si>
  <si>
    <t>Homo sapiens transmembrane protein 141 (TMEM141)</t>
  </si>
  <si>
    <t>NP_116317.1</t>
  </si>
  <si>
    <t>ENSP00000290079</t>
  </si>
  <si>
    <t>PH_hs_0017317</t>
  </si>
  <si>
    <t>ADGRA3</t>
  </si>
  <si>
    <t>Homo sapiens adhesion G protein-coupled receptor A3 (ADGRA3)</t>
  </si>
  <si>
    <t>NP_660333.2</t>
  </si>
  <si>
    <t>PH_hs_0017343</t>
  </si>
  <si>
    <t>WDR66</t>
  </si>
  <si>
    <t>Homo sapiens WD repeat domain 66 (WDR66)</t>
  </si>
  <si>
    <t>PH_hs_0017352</t>
  </si>
  <si>
    <t>RARA</t>
  </si>
  <si>
    <t>LRCH1</t>
  </si>
  <si>
    <t>PH_hs_0017420</t>
  </si>
  <si>
    <t>NNMT</t>
  </si>
  <si>
    <t>Homo sapiens nicotinamide N-methyltransferase (NNMT)</t>
  </si>
  <si>
    <t>NP_006160.1</t>
  </si>
  <si>
    <t>PH_hs_0017470</t>
  </si>
  <si>
    <t>TAB3</t>
  </si>
  <si>
    <t>Homo sapiens TGF-beta activated kinase 1/MAP3K7 binding protein 3 (TAB3)</t>
  </si>
  <si>
    <t>NP_690000.3</t>
  </si>
  <si>
    <t>PH_hs_0017504</t>
  </si>
  <si>
    <t>SCLT1</t>
  </si>
  <si>
    <t>Homo sapiens sodium channel and clathrin linker 1 (SCLT1)</t>
  </si>
  <si>
    <t>NP_653244.2</t>
  </si>
  <si>
    <t>PH_hs_0017507</t>
  </si>
  <si>
    <t>UFM1</t>
  </si>
  <si>
    <t>Homo sapiens ubiquitin-fold modifier 1 (UFM1)</t>
  </si>
  <si>
    <t>NP_057701.1</t>
  </si>
  <si>
    <t>PH_hs_0017528</t>
  </si>
  <si>
    <t>LAMTOR5</t>
  </si>
  <si>
    <t>NP_006393.2</t>
  </si>
  <si>
    <t>PH_hs_0017531</t>
  </si>
  <si>
    <t>PDCD2</t>
  </si>
  <si>
    <t>Homo sapiens programmed cell death 2 (PDCD2)</t>
  </si>
  <si>
    <t>IREB2</t>
  </si>
  <si>
    <t>Homo sapiens iron-responsive element binding protein 2 (IREB2)</t>
  </si>
  <si>
    <t>NP_004127.1</t>
  </si>
  <si>
    <t>LGALSL</t>
  </si>
  <si>
    <t>NP_054900.2</t>
  </si>
  <si>
    <t>PH_hs_0018024</t>
  </si>
  <si>
    <t>ARL1</t>
  </si>
  <si>
    <t>Homo sapiens ADP-ribosylation factor-like 1 (ARL1)</t>
  </si>
  <si>
    <t>NP_001168.1</t>
  </si>
  <si>
    <t>LYPD1</t>
  </si>
  <si>
    <t>Homo sapiens LY6/PLAUR domain containing 1 (LYPD1)</t>
  </si>
  <si>
    <t>PH_hs_0018063</t>
  </si>
  <si>
    <t>SLC22A17</t>
  </si>
  <si>
    <t>PH_hs_0018078</t>
  </si>
  <si>
    <t>ZNF433</t>
  </si>
  <si>
    <t>Homo sapiens zinc finger protein 433 (ZNF433)</t>
  </si>
  <si>
    <t>NP_001073880.1</t>
  </si>
  <si>
    <t>PH_hs_0018127</t>
  </si>
  <si>
    <t>CD2AP</t>
  </si>
  <si>
    <t>Homo sapiens CD2-associated protein (CD2AP)</t>
  </si>
  <si>
    <t>NP_036252.1</t>
  </si>
  <si>
    <t>ENSP00000352264</t>
  </si>
  <si>
    <t>PH_hs_0018132</t>
  </si>
  <si>
    <t>FAM73A</t>
  </si>
  <si>
    <t>PH_hs_0018184</t>
  </si>
  <si>
    <t>MT1X</t>
  </si>
  <si>
    <t>Homo sapiens metallothionein 1X (MT1X)</t>
  </si>
  <si>
    <t>NP_005943.1</t>
  </si>
  <si>
    <t>PH_hs_0018186</t>
  </si>
  <si>
    <t>PRPF4</t>
  </si>
  <si>
    <t>Homo sapiens pre-mRNA processing factor 4 (PRPF4)</t>
  </si>
  <si>
    <t>PH_hs_0018191</t>
  </si>
  <si>
    <t>ENSG00000197555</t>
  </si>
  <si>
    <t>PH_hs_0018212</t>
  </si>
  <si>
    <t>CD24</t>
  </si>
  <si>
    <t>Homo sapiens CD24 molecule (CD24)</t>
  </si>
  <si>
    <t>NP_037362.1</t>
  </si>
  <si>
    <t>PH_hs_0018247</t>
  </si>
  <si>
    <t>DUSP15</t>
  </si>
  <si>
    <t>Homo sapiens dual specificity phosphatase 15 (DUSP15)</t>
  </si>
  <si>
    <t>CHCHD5</t>
  </si>
  <si>
    <t>Homo sapiens coiled-coil-helix-coiled-coil-helix domain containing 5 (CHCHD5)</t>
  </si>
  <si>
    <t>NP_115685.1</t>
  </si>
  <si>
    <t>PH_hs_0018266</t>
  </si>
  <si>
    <t>C14orf178</t>
  </si>
  <si>
    <t>Homo sapiens chromosome 14 open reading frame 178 (C14orf178)</t>
  </si>
  <si>
    <t>NOP56</t>
  </si>
  <si>
    <t>Homo sapiens NOP56 ribonucleoprotein (NOP56)</t>
  </si>
  <si>
    <t>IMPAD1</t>
  </si>
  <si>
    <t>Homo sapiens inositol monophosphatase domain containing 1 (IMPAD1)</t>
  </si>
  <si>
    <t>NP_060283.3</t>
  </si>
  <si>
    <t>PH_hs_0018403</t>
  </si>
  <si>
    <t>PIGW</t>
  </si>
  <si>
    <t>NP_848612.2</t>
  </si>
  <si>
    <t>TMEM91</t>
  </si>
  <si>
    <t>Homo sapiens transmembrane protein 91 (TMEM91)</t>
  </si>
  <si>
    <t>PH_hs_0018457</t>
  </si>
  <si>
    <t>C1orf61</t>
  </si>
  <si>
    <t>Homo sapiens chromosome 1 open reading frame 61 (C1orf61)</t>
  </si>
  <si>
    <t>NP_006356.1</t>
  </si>
  <si>
    <t>PH_hs_0018463</t>
  </si>
  <si>
    <t>FBXL15</t>
  </si>
  <si>
    <t>Homo sapiens F-box and leucine-rich repeat protein 15 (FBXL15)</t>
  </si>
  <si>
    <t>NP_077302.3</t>
  </si>
  <si>
    <t>PH_hs_0018478</t>
  </si>
  <si>
    <t>TMEM136</t>
  </si>
  <si>
    <t>Homo sapiens transmembrane protein 136 (TMEM136)</t>
  </si>
  <si>
    <t>PH_hs_0018480</t>
  </si>
  <si>
    <t>BUD31</t>
  </si>
  <si>
    <t>Homo sapiens BUD31 homolog (S. cerevisiae)</t>
  </si>
  <si>
    <t>NP_003901.2</t>
  </si>
  <si>
    <t>PH_hs_0018483</t>
  </si>
  <si>
    <t>ENSG00000197345</t>
  </si>
  <si>
    <t>PH_hs_0018497</t>
  </si>
  <si>
    <t>BMI1|COMMD3-BMI1</t>
  </si>
  <si>
    <t>648|100532731</t>
  </si>
  <si>
    <t>NM_005180|NM_001204062</t>
  </si>
  <si>
    <t>NP_005171.4|NP_001190991.1</t>
  </si>
  <si>
    <t>ENSG00000168283|ENSG00000269897</t>
  </si>
  <si>
    <t>PH_hs_0018545</t>
  </si>
  <si>
    <t>OAF</t>
  </si>
  <si>
    <t>Homo sapiens OAF homolog (Drosophila)</t>
  </si>
  <si>
    <t>NP_848602.1</t>
  </si>
  <si>
    <t>PH_hs_0018553</t>
  </si>
  <si>
    <t>C8orf44-SGK3|SGK3</t>
  </si>
  <si>
    <t>100533105|23678</t>
  </si>
  <si>
    <t>ENSG00000270024|ENSG00000104205</t>
  </si>
  <si>
    <t>PH_hs_0018570</t>
  </si>
  <si>
    <t>CEBPZOS</t>
  </si>
  <si>
    <t>Homo sapiens CEBPZ opposite strand (CEBPZOS)</t>
  </si>
  <si>
    <t>Homo sapiens GABA(A)</t>
  </si>
  <si>
    <t>PH_hs_0018589</t>
  </si>
  <si>
    <t>FAM26F</t>
  </si>
  <si>
    <t>NP_001010919.1</t>
  </si>
  <si>
    <t>PH_hs_0018599</t>
  </si>
  <si>
    <t>C6orf1</t>
  </si>
  <si>
    <t>Homo sapiens chromosome 6 open reading frame 1 (C6orf1)</t>
  </si>
  <si>
    <t>PH_hs_0018623</t>
  </si>
  <si>
    <t>EFEMP2</t>
  </si>
  <si>
    <t>Homo sapiens EGF containing fibulin-like extracellular matrix protein 2 (EFEMP2)</t>
  </si>
  <si>
    <t>PH_hs_0018784</t>
  </si>
  <si>
    <t>TRAPPC6A</t>
  </si>
  <si>
    <t>Homo sapiens trafficking protein particle complex 6A (TRAPPC6A)</t>
  </si>
  <si>
    <t>PH_hs_0018807</t>
  </si>
  <si>
    <t>CERS6</t>
  </si>
  <si>
    <t>Homo sapiens ceramide synthase 6 (CERS6)</t>
  </si>
  <si>
    <t>PH_hs_0018841</t>
  </si>
  <si>
    <t>PANK3</t>
  </si>
  <si>
    <t>Homo sapiens pantothenate kinase 3 (PANK3)</t>
  </si>
  <si>
    <t>NP_078870.1</t>
  </si>
  <si>
    <t>ITSN2</t>
  </si>
  <si>
    <t>Homo sapiens intersectin 2 (ITSN2)</t>
  </si>
  <si>
    <t>PH_hs_0018844</t>
  </si>
  <si>
    <t>COX14</t>
  </si>
  <si>
    <t>Homo sapiens COX14 cytochrome c oxidase assembly factor (COX14)</t>
  </si>
  <si>
    <t>ACVR2A</t>
  </si>
  <si>
    <t>NP_001607.1</t>
  </si>
  <si>
    <t>PH_hs_0018893</t>
  </si>
  <si>
    <t>ZNF585A</t>
  </si>
  <si>
    <t>Homo sapiens zinc finger protein 585A (ZNF585A)</t>
  </si>
  <si>
    <t>YOD1</t>
  </si>
  <si>
    <t>Homo sapiens YOD1 deubiquitinase (YOD1)</t>
  </si>
  <si>
    <t>NP_061036.3</t>
  </si>
  <si>
    <t>PH_hs_0018936</t>
  </si>
  <si>
    <t>PNPT1</t>
  </si>
  <si>
    <t>Homo sapiens polyribonucleotide nucleotidyltransferase 1 (PNPT1)</t>
  </si>
  <si>
    <t>NP_149100.2</t>
  </si>
  <si>
    <t>PH_hs_0018966</t>
  </si>
  <si>
    <t>HGF</t>
  </si>
  <si>
    <t>Homo sapiens hepatocyte growth factor (hepapoietin A; scatter factor)</t>
  </si>
  <si>
    <t>PH_hs_0019042</t>
  </si>
  <si>
    <t>LKAAEAR1</t>
  </si>
  <si>
    <t>Homo sapiens LKAAEAR motif containing 1 (LKAAEAR1)</t>
  </si>
  <si>
    <t>NP_001007126.1</t>
  </si>
  <si>
    <t>PH_hs_0019128</t>
  </si>
  <si>
    <t>ECI1</t>
  </si>
  <si>
    <t>Homo sapiens enoyl-CoA delta isomerase 1 (ECI1)</t>
  </si>
  <si>
    <t>PH_hs_0019157</t>
  </si>
  <si>
    <t>TBX20</t>
  </si>
  <si>
    <t>Homo sapiens T-box 20 (TBX20)</t>
  </si>
  <si>
    <t>ENSP00000386170</t>
  </si>
  <si>
    <t>PH_hs_0019196</t>
  </si>
  <si>
    <t>DHDH</t>
  </si>
  <si>
    <t>Homo sapiens dihydrodiol dehydrogenase (dimeric)</t>
  </si>
  <si>
    <t>NP_055290.1</t>
  </si>
  <si>
    <t>PH_hs_0019200</t>
  </si>
  <si>
    <t>CSNK1G1</t>
  </si>
  <si>
    <t>NP_071331.2</t>
  </si>
  <si>
    <t>PH_hs_0019214</t>
  </si>
  <si>
    <t>MRPS21</t>
  </si>
  <si>
    <t>Homo sapiens mitochondrial ribosomal protein S21 (MRPS21)</t>
  </si>
  <si>
    <t>NP_061870.1</t>
  </si>
  <si>
    <t>PH_hs_0019220</t>
  </si>
  <si>
    <t>C12orf57</t>
  </si>
  <si>
    <t>Homo sapiens chromosome 12 open reading frame 57 (C12orf57)</t>
  </si>
  <si>
    <t>NP_612434.1</t>
  </si>
  <si>
    <t>PH_hs_0019229</t>
  </si>
  <si>
    <t>TMED4</t>
  </si>
  <si>
    <t>Homo sapiens transmembrane emp24 protein transport domain containing 4 (TMED4)</t>
  </si>
  <si>
    <t>NP_872353.2</t>
  </si>
  <si>
    <t>PH_hs_0019246</t>
  </si>
  <si>
    <t>NDUFA11</t>
  </si>
  <si>
    <t>PH_hs_0019248</t>
  </si>
  <si>
    <t>GPR37</t>
  </si>
  <si>
    <t>Homo sapiens G protein-coupled receptor 37 (endothelin receptor type B-like)</t>
  </si>
  <si>
    <t>NP_005293.1</t>
  </si>
  <si>
    <t>ENST00000303921</t>
  </si>
  <si>
    <t>ENSP00000306449</t>
  </si>
  <si>
    <t>PH_hs_0019254</t>
  </si>
  <si>
    <t>IKBIP</t>
  </si>
  <si>
    <t>Homo sapiens IKBKB interacting protein (IKBIP)</t>
  </si>
  <si>
    <t>NP_710154.1</t>
  </si>
  <si>
    <t>MAPK1IP1L</t>
  </si>
  <si>
    <t>Homo sapiens mitogen-activated protein kinase 1 interacting protein 1-like (MAPK1IP1L)</t>
  </si>
  <si>
    <t>NP_653179.1</t>
  </si>
  <si>
    <t>PH_hs_0019278</t>
  </si>
  <si>
    <t>ATP9A</t>
  </si>
  <si>
    <t>NP_006036.1</t>
  </si>
  <si>
    <t>PH_hs_0019284</t>
  </si>
  <si>
    <t>SPRY4</t>
  </si>
  <si>
    <t>Homo sapiens sprouty homolog 4 (Drosophila)</t>
  </si>
  <si>
    <t>KIAA1468</t>
  </si>
  <si>
    <t>Homo sapiens KIAA1468 (KIAA1468)</t>
  </si>
  <si>
    <t>NP_065905.2</t>
  </si>
  <si>
    <t>PH_hs_0019292</t>
  </si>
  <si>
    <t>CLK4</t>
  </si>
  <si>
    <t>Homo sapiens CDC-like kinase 4 (CLK4)</t>
  </si>
  <si>
    <t>NP_065717.1</t>
  </si>
  <si>
    <t>PH_hs_0019296</t>
  </si>
  <si>
    <t>PTRHD1</t>
  </si>
  <si>
    <t>Homo sapiens peptidyl-tRNA hydrolase domain containing 1 (PTRHD1)</t>
  </si>
  <si>
    <t>NP_001013685.1</t>
  </si>
  <si>
    <t>ENSP00000330389</t>
  </si>
  <si>
    <t>SUN2</t>
  </si>
  <si>
    <t>Homo sapiens Sad1 and UNC84 domain containing 2 (SUN2)</t>
  </si>
  <si>
    <t>PH_hs_0019305</t>
  </si>
  <si>
    <t>PRND</t>
  </si>
  <si>
    <t>Homo sapiens prion protein 2 (dublet)</t>
  </si>
  <si>
    <t>NP_036541.2</t>
  </si>
  <si>
    <t>ENST00000305817</t>
  </si>
  <si>
    <t>ENSP00000306900</t>
  </si>
  <si>
    <t>PH_hs_0019317</t>
  </si>
  <si>
    <t>SUN3</t>
  </si>
  <si>
    <t>Homo sapiens Sad1 and UNC84 domain containing 3 (SUN3)</t>
  </si>
  <si>
    <t>PH_hs_0019346</t>
  </si>
  <si>
    <t>STRN4</t>
  </si>
  <si>
    <t>PH_hs_0019453</t>
  </si>
  <si>
    <t>MIF</t>
  </si>
  <si>
    <t>Homo sapiens macrophage migration inhibitory factor (glycosylation-inhibiting factor)</t>
  </si>
  <si>
    <t>NP_002406.1</t>
  </si>
  <si>
    <t>ENSP00000215754</t>
  </si>
  <si>
    <t>PH_hs_0019467</t>
  </si>
  <si>
    <t>SYNGR4</t>
  </si>
  <si>
    <t>Homo sapiens synaptogyrin 4 (SYNGR4)</t>
  </si>
  <si>
    <t>NP_036583.2</t>
  </si>
  <si>
    <t>PH_hs_0019492</t>
  </si>
  <si>
    <t>SSR4</t>
  </si>
  <si>
    <t>PH_hs_0019510</t>
  </si>
  <si>
    <t>NDUFS5</t>
  </si>
  <si>
    <t>PH_hs_0019542</t>
  </si>
  <si>
    <t>HEXA</t>
  </si>
  <si>
    <t>Homo sapiens hexosaminidase A (alpha polypeptide)</t>
  </si>
  <si>
    <t>NP_000511.2</t>
  </si>
  <si>
    <t>GSTP1</t>
  </si>
  <si>
    <t>Homo sapiens glutathione S-transferase pi 1 (GSTP1)</t>
  </si>
  <si>
    <t>NP_000843.1</t>
  </si>
  <si>
    <t>KHDC1L</t>
  </si>
  <si>
    <t>Homo sapiens KH homology domain containing 1-like (KHDC1L)</t>
  </si>
  <si>
    <t>NP_001119535.1</t>
  </si>
  <si>
    <t>ENSP00000359415</t>
  </si>
  <si>
    <t>RAD51C</t>
  </si>
  <si>
    <t>Homo sapiens RAD51 paralog C (RAD51C)</t>
  </si>
  <si>
    <t>PH_hs_0019563</t>
  </si>
  <si>
    <t>TPPP3</t>
  </si>
  <si>
    <t>Homo sapiens tubulin polymerization-promoting protein family member 3 (TPPP3)</t>
  </si>
  <si>
    <t>PH_hs_0019583</t>
  </si>
  <si>
    <t>PSTPIP2</t>
  </si>
  <si>
    <t>Homo sapiens proline-serine-threonine phosphatase interacting protein 2 (PSTPIP2)</t>
  </si>
  <si>
    <t>NP_077748.3</t>
  </si>
  <si>
    <t>PH_hs_0019592</t>
  </si>
  <si>
    <t>C9orf116</t>
  </si>
  <si>
    <t>Homo sapiens chromosome 9 open reading frame 116 (C9orf116)</t>
  </si>
  <si>
    <t>PH_hs_0019593</t>
  </si>
  <si>
    <t>IZUMO2</t>
  </si>
  <si>
    <t>Homo sapiens IZUMO family member 2 (IZUMO2)</t>
  </si>
  <si>
    <t>NP_689571.2</t>
  </si>
  <si>
    <t>PH_hs_0019597</t>
  </si>
  <si>
    <t>SLC31A1</t>
  </si>
  <si>
    <t>NP_001850.1</t>
  </si>
  <si>
    <t>ENSP00000363329</t>
  </si>
  <si>
    <t>PH_hs_0019612</t>
  </si>
  <si>
    <t>RBM18</t>
  </si>
  <si>
    <t>Homo sapiens RNA binding motif protein 18 (RBM18)</t>
  </si>
  <si>
    <t>ENSP00000409315</t>
  </si>
  <si>
    <t>PH_hs_0019629</t>
  </si>
  <si>
    <t>SMCO4</t>
  </si>
  <si>
    <t>Homo sapiens single-pass membrane protein with coiled-coil domains 4 (SMCO4)</t>
  </si>
  <si>
    <t>NP_064564.1</t>
  </si>
  <si>
    <t>PH_hs_0019645</t>
  </si>
  <si>
    <t>S100A11</t>
  </si>
  <si>
    <t>Homo sapiens S100 calcium binding protein A11 (S100A11)</t>
  </si>
  <si>
    <t>NP_005611.1</t>
  </si>
  <si>
    <t>ENSP00000271638</t>
  </si>
  <si>
    <t>PH_hs_0019671</t>
  </si>
  <si>
    <t>MRPL11</t>
  </si>
  <si>
    <t>Homo sapiens mitochondrial ribosomal protein L11 (MRPL11)</t>
  </si>
  <si>
    <t>PH_hs_0019682</t>
  </si>
  <si>
    <t>CLCN2</t>
  </si>
  <si>
    <t>PH_hs_0019696</t>
  </si>
  <si>
    <t>C20orf196</t>
  </si>
  <si>
    <t>Homo sapiens chromosome 20 open reading frame 196 (C20orf196)</t>
  </si>
  <si>
    <t>NP_689717.2</t>
  </si>
  <si>
    <t>PH_hs_0019720</t>
  </si>
  <si>
    <t>HAUS3</t>
  </si>
  <si>
    <t>NP_078787.2</t>
  </si>
  <si>
    <t>CDKN2A</t>
  </si>
  <si>
    <t>Homo sapiens cyclin-dependent kinase inhibitor 2A (CDKN2A)</t>
  </si>
  <si>
    <t>PH_hs_0019746</t>
  </si>
  <si>
    <t>BRK1</t>
  </si>
  <si>
    <t>NP_060932.2</t>
  </si>
  <si>
    <t>ENST00000530758</t>
  </si>
  <si>
    <t>ENSP00000432472</t>
  </si>
  <si>
    <t>PH_hs_0019753</t>
  </si>
  <si>
    <t>PPA2</t>
  </si>
  <si>
    <t>Homo sapiens pyrophosphatase (inorganic)</t>
  </si>
  <si>
    <t>ZNF511</t>
  </si>
  <si>
    <t>Homo sapiens zinc finger protein 511 (ZNF511)</t>
  </si>
  <si>
    <t>NP_665805.2</t>
  </si>
  <si>
    <t>PH_hs_0019771</t>
  </si>
  <si>
    <t>OCEL1</t>
  </si>
  <si>
    <t>Homo sapiens occludin/ELL domain containing 1 (OCEL1)</t>
  </si>
  <si>
    <t>NP_078854.1</t>
  </si>
  <si>
    <t>PH_hs_0019772</t>
  </si>
  <si>
    <t>RBP7</t>
  </si>
  <si>
    <t>NP_443192.1</t>
  </si>
  <si>
    <t>PH_hs_0019779</t>
  </si>
  <si>
    <t>HCFC1R1</t>
  </si>
  <si>
    <t>Homo sapiens host cell factor C1 regulator 1 (XPO1 dependent)</t>
  </si>
  <si>
    <t>TENM3</t>
  </si>
  <si>
    <t>Homo sapiens teneurin transmembrane protein 3 (TENM3)</t>
  </si>
  <si>
    <t>NP_001073946.1</t>
  </si>
  <si>
    <t>PH_hs_0019783</t>
  </si>
  <si>
    <t>CRIP1</t>
  </si>
  <si>
    <t>Homo sapiens cysteine-rich protein 1 (intestinal)</t>
  </si>
  <si>
    <t>NP_001302.1</t>
  </si>
  <si>
    <t>PH_hs_0019793</t>
  </si>
  <si>
    <t>GCG</t>
  </si>
  <si>
    <t>Homo sapiens glucagon (GCG)</t>
  </si>
  <si>
    <t>NP_002045.1</t>
  </si>
  <si>
    <t>PH_hs_0019795</t>
  </si>
  <si>
    <t>FIS1</t>
  </si>
  <si>
    <t>Homo sapiens fission 1 (mitochondrial outer membrane)</t>
  </si>
  <si>
    <t>NP_057152.2</t>
  </si>
  <si>
    <t>MRPL46</t>
  </si>
  <si>
    <t>Homo sapiens mitochondrial ribosomal protein L46 (MRPL46)</t>
  </si>
  <si>
    <t>NP_071446.2</t>
  </si>
  <si>
    <t>LYAR</t>
  </si>
  <si>
    <t>Homo sapiens Ly1 antibody reactive (LYAR)</t>
  </si>
  <si>
    <t>PH_hs_0019840</t>
  </si>
  <si>
    <t>ANAPC16</t>
  </si>
  <si>
    <t>Homo sapiens anaphase promoting complex subunit 16 (ANAPC16)</t>
  </si>
  <si>
    <t>PH_hs_0019846</t>
  </si>
  <si>
    <t>TP53</t>
  </si>
  <si>
    <t>Homo sapiens tumor protein p53 (TP53)</t>
  </si>
  <si>
    <t>PH_hs_0019863</t>
  </si>
  <si>
    <t>CA11</t>
  </si>
  <si>
    <t>Homo sapiens carbonic anhydrase XI (CA11)</t>
  </si>
  <si>
    <t>NP_001208.2</t>
  </si>
  <si>
    <t>PH_hs_0019868</t>
  </si>
  <si>
    <t>NUDT2</t>
  </si>
  <si>
    <t>PH_hs_0019878</t>
  </si>
  <si>
    <t>PCSK1N</t>
  </si>
  <si>
    <t>Homo sapiens proprotein convertase subtilisin/kexin type 1 inhibitor (PCSK1N)</t>
  </si>
  <si>
    <t>NP_037403.1</t>
  </si>
  <si>
    <t>ENSP00000218230</t>
  </si>
  <si>
    <t>PH_hs_0019882</t>
  </si>
  <si>
    <t>NDUFS3</t>
  </si>
  <si>
    <t>NP_004542.1</t>
  </si>
  <si>
    <t>PH_hs_0019916</t>
  </si>
  <si>
    <t>MRPL53</t>
  </si>
  <si>
    <t>Homo sapiens mitochondrial ribosomal protein L53 (MRPL53)</t>
  </si>
  <si>
    <t>NP_444278.1</t>
  </si>
  <si>
    <t>PH_hs_0019919</t>
  </si>
  <si>
    <t>PXMP2</t>
  </si>
  <si>
    <t>NP_061133.1</t>
  </si>
  <si>
    <t>PH_hs_0019958</t>
  </si>
  <si>
    <t>MRPL40</t>
  </si>
  <si>
    <t>Homo sapiens mitochondrial ribosomal protein L40 (MRPL40)</t>
  </si>
  <si>
    <t>NP_003767.2</t>
  </si>
  <si>
    <t>ENSP00000333401</t>
  </si>
  <si>
    <t>PH_hs_0019972</t>
  </si>
  <si>
    <t>COX6B1</t>
  </si>
  <si>
    <t>Homo sapiens cytochrome c oxidase subunit VIb polypeptide 1 (ubiquitous)</t>
  </si>
  <si>
    <t>NP_001854.1</t>
  </si>
  <si>
    <t>PH_hs_0019980</t>
  </si>
  <si>
    <t>RRAGA</t>
  </si>
  <si>
    <t>Homo sapiens Ras-related GTP binding A (RRAGA)</t>
  </si>
  <si>
    <t>NP_006561.1</t>
  </si>
  <si>
    <t>ENST00000380527</t>
  </si>
  <si>
    <t>ENSP00000369899</t>
  </si>
  <si>
    <t>|</t>
  </si>
  <si>
    <t>PH_hs_0020020</t>
  </si>
  <si>
    <t>PSMB2</t>
  </si>
  <si>
    <t>NP_002785.1</t>
  </si>
  <si>
    <t>PH_hs_0020042</t>
  </si>
  <si>
    <t>TMEM42</t>
  </si>
  <si>
    <t>Homo sapiens transmembrane protein 42 (TMEM42)</t>
  </si>
  <si>
    <t>NP_653239.1</t>
  </si>
  <si>
    <t>ENSP00000486141</t>
  </si>
  <si>
    <t>PH_hs_0020045</t>
  </si>
  <si>
    <t>EXOSC6</t>
  </si>
  <si>
    <t>Homo sapiens exosome component 6 (EXOSC6)</t>
  </si>
  <si>
    <t>NP_478126.1</t>
  </si>
  <si>
    <t>ENST00000435634</t>
  </si>
  <si>
    <t>ENSP00000398597</t>
  </si>
  <si>
    <t>MFAP3</t>
  </si>
  <si>
    <t>Homo sapiens microfibrillar-associated protein 3 (MFAP3)</t>
  </si>
  <si>
    <t>PH_hs_0020055</t>
  </si>
  <si>
    <t>LAMC1</t>
  </si>
  <si>
    <t>NP_002284.3</t>
  </si>
  <si>
    <t>PH_hs_0020077</t>
  </si>
  <si>
    <t>SIGIRR</t>
  </si>
  <si>
    <t>Homo sapiens single immunoglobulin and toll-interleukin 1 receptor (TIR)</t>
  </si>
  <si>
    <t>PH_hs_0020084</t>
  </si>
  <si>
    <t>CHST11</t>
  </si>
  <si>
    <t>PH_hs_0020095</t>
  </si>
  <si>
    <t>GINS2</t>
  </si>
  <si>
    <t>Homo sapiens GINS complex subunit 2 (Psf2 homolog)</t>
  </si>
  <si>
    <t>NP_057179.1</t>
  </si>
  <si>
    <t>C22orf39</t>
  </si>
  <si>
    <t>Homo sapiens chromosome 22 open reading frame 39 (C22orf39)</t>
  </si>
  <si>
    <t>PH_hs_0020098</t>
  </si>
  <si>
    <t>TMEM208</t>
  </si>
  <si>
    <t>Homo sapiens transmembrane protein 208 (TMEM208)</t>
  </si>
  <si>
    <t>NP_054906.2</t>
  </si>
  <si>
    <t>PH_hs_0020101</t>
  </si>
  <si>
    <t>NPC2</t>
  </si>
  <si>
    <t>NP_006423.1</t>
  </si>
  <si>
    <t>PH_hs_0020106</t>
  </si>
  <si>
    <t>PKDCC</t>
  </si>
  <si>
    <t>NP_612379.2</t>
  </si>
  <si>
    <t>PH_hs_0020113</t>
  </si>
  <si>
    <t>NUDT8</t>
  </si>
  <si>
    <t>PH_hs_0020119</t>
  </si>
  <si>
    <t>ERH</t>
  </si>
  <si>
    <t>Homo sapiens enhancer of rudimentary homolog (Drosophila)</t>
  </si>
  <si>
    <t>NP_004441.1</t>
  </si>
  <si>
    <t>PH_hs_0020132</t>
  </si>
  <si>
    <t>AFMID</t>
  </si>
  <si>
    <t>Homo sapiens arylformamidase (AFMID)</t>
  </si>
  <si>
    <t>PH_hs_0020157</t>
  </si>
  <si>
    <t>COX8A</t>
  </si>
  <si>
    <t>Homo sapiens cytochrome c oxidase subunit VIIIA (ubiquitous)</t>
  </si>
  <si>
    <t>NP_004065.1</t>
  </si>
  <si>
    <t>ENST00000314133</t>
  </si>
  <si>
    <t>ENSP00000321260</t>
  </si>
  <si>
    <t>LAMP2</t>
  </si>
  <si>
    <t>Homo sapiens lysosomal-associated membrane protein 2 (LAMP2)</t>
  </si>
  <si>
    <t>PH_hs_0020211</t>
  </si>
  <si>
    <t>HIST2H2AB</t>
  </si>
  <si>
    <t>NP_778235.1</t>
  </si>
  <si>
    <t>ENST00000331128</t>
  </si>
  <si>
    <t>ENSP00000332790</t>
  </si>
  <si>
    <t>PH_hs_0020293</t>
  </si>
  <si>
    <t>C17orf82</t>
  </si>
  <si>
    <t>Homo sapiens chromosome 17 open reading frame 82 (C17orf82)</t>
  </si>
  <si>
    <t>NP_982249.2</t>
  </si>
  <si>
    <t>PH_hs_0020409</t>
  </si>
  <si>
    <t>SLU7</t>
  </si>
  <si>
    <t>Homo sapiens SLU7 splicing factor homolog (S. cerevisiae)</t>
  </si>
  <si>
    <t>NP_006416.3</t>
  </si>
  <si>
    <t>PH_hs_0020470</t>
  </si>
  <si>
    <t>OARD1</t>
  </si>
  <si>
    <t>Homo sapiens O-acyl-ADP-ribose deacylase 1 (OARD1)</t>
  </si>
  <si>
    <t>NP_659500.1</t>
  </si>
  <si>
    <t>PH_hs_0020497</t>
  </si>
  <si>
    <t>OGFOD3</t>
  </si>
  <si>
    <t>Homo sapiens 2-oxoglutarate and iron-dependent oxygenase domain containing 3 (OGFOD3)</t>
  </si>
  <si>
    <t>PH_hs_0020600</t>
  </si>
  <si>
    <t>HRC</t>
  </si>
  <si>
    <t>Homo sapiens histidine rich calcium binding protein (HRC)</t>
  </si>
  <si>
    <t>NP_002143.1</t>
  </si>
  <si>
    <t>MSR1</t>
  </si>
  <si>
    <t>Homo sapiens macrophage scavenger receptor 1 (MSR1)</t>
  </si>
  <si>
    <t>PH_hs_0020624</t>
  </si>
  <si>
    <t>RASL10B</t>
  </si>
  <si>
    <t>NP_201572.1</t>
  </si>
  <si>
    <t>ENSP00000474230</t>
  </si>
  <si>
    <t>PH_hs_0020719</t>
  </si>
  <si>
    <t>AMHR2</t>
  </si>
  <si>
    <t>PH_hs_0020725</t>
  </si>
  <si>
    <t>KIAA0196</t>
  </si>
  <si>
    <t>Homo sapiens KIAA0196 (KIAA0196)</t>
  </si>
  <si>
    <t>NP_055661.3</t>
  </si>
  <si>
    <t>KIAA0825</t>
  </si>
  <si>
    <t>Homo sapiens KIAA0825 (KIAA0825)</t>
  </si>
  <si>
    <t>NP_001139150.1</t>
  </si>
  <si>
    <t>PH_hs_0020844</t>
  </si>
  <si>
    <t>HEBP2</t>
  </si>
  <si>
    <t>Homo sapiens heme binding protein 2 (HEBP2)</t>
  </si>
  <si>
    <t>NP_055135.1</t>
  </si>
  <si>
    <t>PH_hs_0020864</t>
  </si>
  <si>
    <t>HSPB11</t>
  </si>
  <si>
    <t>Homo sapiens heat shock protein family B (small)</t>
  </si>
  <si>
    <t>NP_057210.2</t>
  </si>
  <si>
    <t>PH_hs_0020904</t>
  </si>
  <si>
    <t>MAN2A1</t>
  </si>
  <si>
    <t>NP_002363.2</t>
  </si>
  <si>
    <t>ENSP00000261483</t>
  </si>
  <si>
    <t>PH_hs_0021015</t>
  </si>
  <si>
    <t>GUSBP3|LOC100653061</t>
  </si>
  <si>
    <t>653188|100653061</t>
  </si>
  <si>
    <t>PH_hs_0021127</t>
  </si>
  <si>
    <t>SUV420H1</t>
  </si>
  <si>
    <t>Homo sapiens suppressor of variegation 4-20 homolog 1 (Drosophila)</t>
  </si>
  <si>
    <t>NP_060105.3</t>
  </si>
  <si>
    <t>CEP63</t>
  </si>
  <si>
    <t>Homo sapiens centrosomal protein 63kDa (CEP63)</t>
  </si>
  <si>
    <t>PH_hs_0021240</t>
  </si>
  <si>
    <t>PRRX1</t>
  </si>
  <si>
    <t>Homo sapiens paired related homeobox 1 (PRRX1)</t>
  </si>
  <si>
    <t>PH_hs_0021309</t>
  </si>
  <si>
    <t>ZNF346</t>
  </si>
  <si>
    <t>Homo sapiens zinc finger protein 346 (ZNF346)</t>
  </si>
  <si>
    <t>NP_036411.1</t>
  </si>
  <si>
    <t>PH_hs_0021383</t>
  </si>
  <si>
    <t>CYLC1</t>
  </si>
  <si>
    <t>PH_hs_0021559</t>
  </si>
  <si>
    <t>RSPO4</t>
  </si>
  <si>
    <t>Homo sapiens R-spondin 4 (RSPO4)</t>
  </si>
  <si>
    <t>PH_hs_0021617</t>
  </si>
  <si>
    <t>SLC9B2</t>
  </si>
  <si>
    <t>NP_849155.2</t>
  </si>
  <si>
    <t>KCNQ5</t>
  </si>
  <si>
    <t>PH_hs_0021690</t>
  </si>
  <si>
    <t>LOC100506974</t>
  </si>
  <si>
    <t>PREDICTED: Homo sapiens uncharacterized LOC100506974 (LOC100506974)</t>
  </si>
  <si>
    <t>PH_hs_0021770</t>
  </si>
  <si>
    <t>ZNF879</t>
  </si>
  <si>
    <t>Homo sapiens zinc finger protein 879 (ZNF879)</t>
  </si>
  <si>
    <t>NP_001129588.1</t>
  </si>
  <si>
    <t>PH_hs_0021804</t>
  </si>
  <si>
    <t>TTLL7</t>
  </si>
  <si>
    <t>Homo sapiens tubulin tyrosine ligase-like family member 7 (TTLL7)</t>
  </si>
  <si>
    <t>NP_078962.4</t>
  </si>
  <si>
    <t>PH_hs_0021926</t>
  </si>
  <si>
    <t>HOXA7</t>
  </si>
  <si>
    <t>Homo sapiens homeobox A7 (HOXA7)</t>
  </si>
  <si>
    <t>NP_008827.2</t>
  </si>
  <si>
    <t>BAG1</t>
  </si>
  <si>
    <t>Homo sapiens BCL2-associated athanogene (BAG1)</t>
  </si>
  <si>
    <t>PH_hs_0021930</t>
  </si>
  <si>
    <t>LINGO2</t>
  </si>
  <si>
    <t>Homo sapiens leucine rich repeat and Ig domain containing 2 (LINGO2)</t>
  </si>
  <si>
    <t>PH_hs_0021932</t>
  </si>
  <si>
    <t>IFT43</t>
  </si>
  <si>
    <t>Homo sapiens intraflagellar transport 43 (IFT43)</t>
  </si>
  <si>
    <t>PH_hs_0021941</t>
  </si>
  <si>
    <t>SLC39A10</t>
  </si>
  <si>
    <t>PH_hs_0021948</t>
  </si>
  <si>
    <t>DNAJC7</t>
  </si>
  <si>
    <t>DNAJC3</t>
  </si>
  <si>
    <t>NP_006251.1</t>
  </si>
  <si>
    <t>TMPO</t>
  </si>
  <si>
    <t>Homo sapiens thymopoietin (TMPO)</t>
  </si>
  <si>
    <t>TMEM237</t>
  </si>
  <si>
    <t>Homo sapiens transmembrane protein 237 (TMEM237)</t>
  </si>
  <si>
    <t>PH_hs_0021993</t>
  </si>
  <si>
    <t>FAHD2A|FAHD2B</t>
  </si>
  <si>
    <t>Homo sapiens fumarylacetoacetate hydrolase domain containing 2A (FAHD2A)|Homo sapiens fumarylacetoacetate hydrolase domain containing 2B (FAHD2B)</t>
  </si>
  <si>
    <t>51011|151313</t>
  </si>
  <si>
    <t>NM_016044|NM_199336</t>
  </si>
  <si>
    <t>NP_057128.2|NP_955368.1</t>
  </si>
  <si>
    <t>ENSG00000115042|ENSG00000144199</t>
  </si>
  <si>
    <t>SLC30A6</t>
  </si>
  <si>
    <t>PH_hs_0022028</t>
  </si>
  <si>
    <t>ATP2B1</t>
  </si>
  <si>
    <t>PH_hs_0022032</t>
  </si>
  <si>
    <t>GUF1</t>
  </si>
  <si>
    <t>Homo sapiens GUF1 GTPase homolog (S. cerevisiae)</t>
  </si>
  <si>
    <t>NP_068746.2</t>
  </si>
  <si>
    <t>PH_hs_0022047</t>
  </si>
  <si>
    <t>PDCD6</t>
  </si>
  <si>
    <t>Homo sapiens programmed cell death 6 (PDCD6)</t>
  </si>
  <si>
    <t>PH_hs_0022056</t>
  </si>
  <si>
    <t>UCHL5</t>
  </si>
  <si>
    <t>Homo sapiens ubiquitin carboxyl-terminal hydrolase L5 (UCHL5)</t>
  </si>
  <si>
    <t>PH_hs_0022069</t>
  </si>
  <si>
    <t>NDUFB2</t>
  </si>
  <si>
    <t>NP_004537.1</t>
  </si>
  <si>
    <t>TGFBR1</t>
  </si>
  <si>
    <t>PH_hs_0022083</t>
  </si>
  <si>
    <t>CREG2</t>
  </si>
  <si>
    <t>Homo sapiens cellular repressor of E1A-stimulated genes 2 (CREG2)</t>
  </si>
  <si>
    <t>NP_722578.1</t>
  </si>
  <si>
    <t>ENSP00000315203</t>
  </si>
  <si>
    <t>PH_hs_0022089</t>
  </si>
  <si>
    <t>RHOBTB3</t>
  </si>
  <si>
    <t>Homo sapiens Rho-related BTB domain containing 3 (RHOBTB3)</t>
  </si>
  <si>
    <t>NP_055714.3</t>
  </si>
  <si>
    <t>PH_hs_0022092</t>
  </si>
  <si>
    <t>PANX1</t>
  </si>
  <si>
    <t>Homo sapiens pannexin 1 (PANX1)</t>
  </si>
  <si>
    <t>NP_056183.2</t>
  </si>
  <si>
    <t>PH_hs_0022096</t>
  </si>
  <si>
    <t>LTV1</t>
  </si>
  <si>
    <t>Homo sapiens LTV1 ribosome biogenesis factor (LTV1)</t>
  </si>
  <si>
    <t>NP_116249.2</t>
  </si>
  <si>
    <t>ENST00000367576</t>
  </si>
  <si>
    <t>ENSP00000356548</t>
  </si>
  <si>
    <t>SLC30A7</t>
  </si>
  <si>
    <t>PH_hs_0022107</t>
  </si>
  <si>
    <t>PICALM</t>
  </si>
  <si>
    <t>Homo sapiens phosphatidylinositol binding clathrin assembly protein (PICALM)</t>
  </si>
  <si>
    <t>PH_hs_0022108</t>
  </si>
  <si>
    <t>SRD5A3</t>
  </si>
  <si>
    <t>Homo sapiens steroid 5 alpha-reductase 3 (SRD5A3)</t>
  </si>
  <si>
    <t>NP_078868.1</t>
  </si>
  <si>
    <t>HNMT</t>
  </si>
  <si>
    <t>Homo sapiens histamine N-methyltransferase (HNMT)</t>
  </si>
  <si>
    <t>NP_008826.1</t>
  </si>
  <si>
    <t>PH_hs_0022118</t>
  </si>
  <si>
    <t>TSPAN6</t>
  </si>
  <si>
    <t>Homo sapiens tetraspanin 6 (TSPAN6)</t>
  </si>
  <si>
    <t>NP_003261.1</t>
  </si>
  <si>
    <t>PRKAA1</t>
  </si>
  <si>
    <t>MED31</t>
  </si>
  <si>
    <t>Homo sapiens mediator complex subunit 31 (MED31)</t>
  </si>
  <si>
    <t>NP_057144.1</t>
  </si>
  <si>
    <t>MRPL19</t>
  </si>
  <si>
    <t>Homo sapiens mitochondrial ribosomal protein L19 (MRPL19)</t>
  </si>
  <si>
    <t>NP_055578.2</t>
  </si>
  <si>
    <t>PH_hs_0022128</t>
  </si>
  <si>
    <t>SEC11C</t>
  </si>
  <si>
    <t>Homo sapiens SEC11 homolog C (S. cerevisiae)</t>
  </si>
  <si>
    <t>NP_150596.1</t>
  </si>
  <si>
    <t>PH_hs_0022134</t>
  </si>
  <si>
    <t>BEND6</t>
  </si>
  <si>
    <t>Homo sapiens BEN domain containing 6 (BEND6)</t>
  </si>
  <si>
    <t>NP_689944.2</t>
  </si>
  <si>
    <t>PH_hs_0022137</t>
  </si>
  <si>
    <t>RAP2A</t>
  </si>
  <si>
    <t>NP_066361.1</t>
  </si>
  <si>
    <t>PH_hs_0022143</t>
  </si>
  <si>
    <t>KIAA1429</t>
  </si>
  <si>
    <t>Homo sapiens KIAA1429 (KIAA1429)</t>
  </si>
  <si>
    <t>NP_056311.2</t>
  </si>
  <si>
    <t>FRMD3</t>
  </si>
  <si>
    <t>Homo sapiens FERM domain containing 3 (FRMD3)</t>
  </si>
  <si>
    <t>PH_hs_0022171</t>
  </si>
  <si>
    <t>SRSF1</t>
  </si>
  <si>
    <t>Homo sapiens serine/arginine-rich splicing factor 1 (SRSF1)</t>
  </si>
  <si>
    <t>ANKEF1</t>
  </si>
  <si>
    <t>Homo sapiens ankyrin repeat and EF-hand domain containing 1 (ANKEF1)</t>
  </si>
  <si>
    <t>PH_hs_0022181</t>
  </si>
  <si>
    <t>CSNK2B</t>
  </si>
  <si>
    <t>NP_001311.3</t>
  </si>
  <si>
    <t>NCAM1</t>
  </si>
  <si>
    <t>Homo sapiens neural cell adhesion molecule 1 (NCAM1)</t>
  </si>
  <si>
    <t>PH_hs_0022198</t>
  </si>
  <si>
    <t>YTHDC1</t>
  </si>
  <si>
    <t>Homo sapiens YTH domain containing 1 (YTHDC1)</t>
  </si>
  <si>
    <t>UTP23</t>
  </si>
  <si>
    <t>NP_115710.2</t>
  </si>
  <si>
    <t>MBOAT2</t>
  </si>
  <si>
    <t>Homo sapiens membrane bound O-acyltransferase domain containing 2 (MBOAT2)</t>
  </si>
  <si>
    <t>NP_620154.2</t>
  </si>
  <si>
    <t>PH_hs_0022208</t>
  </si>
  <si>
    <t>RUNX1T1</t>
  </si>
  <si>
    <t>PH_hs_0022211</t>
  </si>
  <si>
    <t>FAM169A</t>
  </si>
  <si>
    <t>PH_hs_0022239</t>
  </si>
  <si>
    <t>TMEM181</t>
  </si>
  <si>
    <t>Homo sapiens transmembrane protein 181 (TMEM181)</t>
  </si>
  <si>
    <t>NP_065874.1</t>
  </si>
  <si>
    <t>ENST00000367090</t>
  </si>
  <si>
    <t>ENSP00000356057</t>
  </si>
  <si>
    <t>PH_hs_0022250</t>
  </si>
  <si>
    <t>TFPI</t>
  </si>
  <si>
    <t>Homo sapiens tissue factor pathway inhibitor (lipoprotein-associated coagulation inhibitor)</t>
  </si>
  <si>
    <t>NP_001027452.1</t>
  </si>
  <si>
    <t>PH_hs_0022252</t>
  </si>
  <si>
    <t>POLR3B</t>
  </si>
  <si>
    <t>PH_hs_0022253</t>
  </si>
  <si>
    <t>KDM5C</t>
  </si>
  <si>
    <t>PH_hs_0022268</t>
  </si>
  <si>
    <t>COG3</t>
  </si>
  <si>
    <t>Homo sapiens component of oligomeric golgi complex 3 (COG3)</t>
  </si>
  <si>
    <t>NP_113619.2</t>
  </si>
  <si>
    <t>GPD2</t>
  </si>
  <si>
    <t>Homo sapiens glycerol-3-phosphate dehydrogenase 2 (mitochondrial)</t>
  </si>
  <si>
    <t>ZFHX3</t>
  </si>
  <si>
    <t>Homo sapiens zinc finger homeobox 3 (ZFHX3)</t>
  </si>
  <si>
    <t>VPS36</t>
  </si>
  <si>
    <t>Homo sapiens vacuolar protein sorting 36 homolog (S. cerevisiae)</t>
  </si>
  <si>
    <t>NP_057159.2</t>
  </si>
  <si>
    <t>SMAD2</t>
  </si>
  <si>
    <t>Homo sapiens SMAD family member 2 (SMAD2)</t>
  </si>
  <si>
    <t>PH_hs_0022289</t>
  </si>
  <si>
    <t>SLC20A1</t>
  </si>
  <si>
    <t>NP_005406.3</t>
  </si>
  <si>
    <t>PH_hs_0022299</t>
  </si>
  <si>
    <t>TDRD3</t>
  </si>
  <si>
    <t>Homo sapiens tudor domain containing 3 (TDRD3)</t>
  </si>
  <si>
    <t>PH_hs_0022309</t>
  </si>
  <si>
    <t>VPS26A</t>
  </si>
  <si>
    <t>Homo sapiens vacuolar protein sorting 26 homolog A (S. pombe)</t>
  </si>
  <si>
    <t>MPC1</t>
  </si>
  <si>
    <t>Homo sapiens mitochondrial pyruvate carrier 1 (MPC1)</t>
  </si>
  <si>
    <t>PH_hs_0022342</t>
  </si>
  <si>
    <t>SAP30L</t>
  </si>
  <si>
    <t>Homo sapiens SAP30-like (SAP30L)</t>
  </si>
  <si>
    <t>PH_hs_0022352</t>
  </si>
  <si>
    <t>RLIM</t>
  </si>
  <si>
    <t>PH_hs_0022353</t>
  </si>
  <si>
    <t>KATNBL1</t>
  </si>
  <si>
    <t>Homo sapiens katanin p80 subunit B-like 1 (KATNBL1)</t>
  </si>
  <si>
    <t>NP_078989.1</t>
  </si>
  <si>
    <t>PH_hs_0022359</t>
  </si>
  <si>
    <t>LAMB1</t>
  </si>
  <si>
    <t>NP_002282.2</t>
  </si>
  <si>
    <t>PH_hs_0022372</t>
  </si>
  <si>
    <t>CHGA</t>
  </si>
  <si>
    <t>Homo sapiens chromogranin A (CHGA)</t>
  </si>
  <si>
    <t>NP_001266.1</t>
  </si>
  <si>
    <t>PH_hs_0022374</t>
  </si>
  <si>
    <t>LXN</t>
  </si>
  <si>
    <t>Homo sapiens latexin (LXN)</t>
  </si>
  <si>
    <t>NP_064554.3</t>
  </si>
  <si>
    <t>PH_hs_0022380</t>
  </si>
  <si>
    <t>WDR61</t>
  </si>
  <si>
    <t>Homo sapiens WD repeat domain 61 (WDR61)</t>
  </si>
  <si>
    <t>NP_079510.1</t>
  </si>
  <si>
    <t>CTSC</t>
  </si>
  <si>
    <t>Homo sapiens cathepsin C (CTSC)</t>
  </si>
  <si>
    <t>PPP6R3</t>
  </si>
  <si>
    <t>PH_hs_0022411</t>
  </si>
  <si>
    <t>PPFIA1</t>
  </si>
  <si>
    <t>GLS</t>
  </si>
  <si>
    <t>Homo sapiens glutaminase (GLS)</t>
  </si>
  <si>
    <t>NP_055720.3</t>
  </si>
  <si>
    <t>PH_hs_0022418</t>
  </si>
  <si>
    <t>OTP</t>
  </si>
  <si>
    <t>Homo sapiens orthopedia homeobox (OTP)</t>
  </si>
  <si>
    <t>NP_115485.1</t>
  </si>
  <si>
    <t>ENSP00000302814</t>
  </si>
  <si>
    <t>PH_hs_0022419</t>
  </si>
  <si>
    <t>HOMER1</t>
  </si>
  <si>
    <t>Homo sapiens homer scaffolding protein 1 (HOMER1)</t>
  </si>
  <si>
    <t>NP_004263.1</t>
  </si>
  <si>
    <t>PH_hs_0022421</t>
  </si>
  <si>
    <t>MPLKIP</t>
  </si>
  <si>
    <t>Homo sapiens M-phase specific PLK1 interacting protein (MPLKIP)</t>
  </si>
  <si>
    <t>NP_619646.1</t>
  </si>
  <si>
    <t>ENST00000306984</t>
  </si>
  <si>
    <t>ENSP00000304553</t>
  </si>
  <si>
    <t>PH_hs_0022426</t>
  </si>
  <si>
    <t>CINP</t>
  </si>
  <si>
    <t>Homo sapiens cyclin-dependent kinase 2 interacting protein (CINP)</t>
  </si>
  <si>
    <t>NP_116019.1</t>
  </si>
  <si>
    <t>ELK4</t>
  </si>
  <si>
    <t>PPM1A</t>
  </si>
  <si>
    <t>EMC2</t>
  </si>
  <si>
    <t>Homo sapiens ER membrane protein complex subunit 2 (EMC2)</t>
  </si>
  <si>
    <t>NP_055488.1</t>
  </si>
  <si>
    <t>PH_hs_0022453</t>
  </si>
  <si>
    <t>RAPGEF1</t>
  </si>
  <si>
    <t>PH_hs_0022456</t>
  </si>
  <si>
    <t>ANKRD17</t>
  </si>
  <si>
    <t>Homo sapiens ankyrin repeat domain 17 (ANKRD17)</t>
  </si>
  <si>
    <t>PH_hs_0022465</t>
  </si>
  <si>
    <t>PARP9</t>
  </si>
  <si>
    <t>PH_hs_0022476</t>
  </si>
  <si>
    <t>UBR2</t>
  </si>
  <si>
    <t>Homo sapiens ubiquitin protein ligase E3 component n-recognin 2 (UBR2)</t>
  </si>
  <si>
    <t>NP_056070.1</t>
  </si>
  <si>
    <t>PH_hs_0022481</t>
  </si>
  <si>
    <t>SLC38A1</t>
  </si>
  <si>
    <t>PH_hs_0022487</t>
  </si>
  <si>
    <t>SAPCD1|MSH5-SAPCD1</t>
  </si>
  <si>
    <t>Homo sapiens suppressor APC domain containing 1 (SAPCD1)|Homo sapiens MSH5-SAPCD1 readthrough (NMD candidate)</t>
  </si>
  <si>
    <t>401251|100532732</t>
  </si>
  <si>
    <t>NM_001039651|NR_037846</t>
  </si>
  <si>
    <t>NP_001034740.1|-</t>
  </si>
  <si>
    <t>PH_hs_0022489</t>
  </si>
  <si>
    <t>HSD17B12</t>
  </si>
  <si>
    <t>NP_057226.1</t>
  </si>
  <si>
    <t>PH_hs_0022494</t>
  </si>
  <si>
    <t>TEP1</t>
  </si>
  <si>
    <t>Homo sapiens telomerase-associated protein 1 (TEP1)</t>
  </si>
  <si>
    <t>NP_009041.2</t>
  </si>
  <si>
    <t>PH_hs_0022495</t>
  </si>
  <si>
    <t>ZNF577</t>
  </si>
  <si>
    <t>Homo sapiens zinc finger protein 577 (ZNF577)</t>
  </si>
  <si>
    <t>CCDC69</t>
  </si>
  <si>
    <t>Homo sapiens coiled-coil domain containing 69 (CCDC69)</t>
  </si>
  <si>
    <t>NP_056436.2</t>
  </si>
  <si>
    <t>PH_hs_0022506</t>
  </si>
  <si>
    <t>HERC1</t>
  </si>
  <si>
    <t>Homo sapiens HECT and RLD domain containing E3 ubiquitin protein ligase family member 1 (HERC1)</t>
  </si>
  <si>
    <t>NP_003913.3</t>
  </si>
  <si>
    <t>PH_hs_0022508</t>
  </si>
  <si>
    <t>PUM2</t>
  </si>
  <si>
    <t>Homo sapiens pumilio RNA-binding family member 2 (PUM2)</t>
  </si>
  <si>
    <t>NP_056132.1</t>
  </si>
  <si>
    <t>TMEM260</t>
  </si>
  <si>
    <t>Homo sapiens transmembrane protein 260 (TMEM260)</t>
  </si>
  <si>
    <t>NP_060269.3</t>
  </si>
  <si>
    <t>PH_hs_0022520</t>
  </si>
  <si>
    <t>MCM8</t>
  </si>
  <si>
    <t>Homo sapiens minichromosome maintenance complex component 8 (MCM8)</t>
  </si>
  <si>
    <t>PH_hs_0022531</t>
  </si>
  <si>
    <t>MAVS</t>
  </si>
  <si>
    <t>Homo sapiens mitochondrial antiviral signaling protein (MAVS)</t>
  </si>
  <si>
    <t>PH_hs_0022532</t>
  </si>
  <si>
    <t>ZNF300</t>
  </si>
  <si>
    <t>Homo sapiens zinc finger protein 300 (ZNF300)</t>
  </si>
  <si>
    <t>PH_hs_0022539</t>
  </si>
  <si>
    <t>CIB1</t>
  </si>
  <si>
    <t>Homo sapiens calcium and integrin binding 1 (calmyrin)</t>
  </si>
  <si>
    <t>NP_006375.2</t>
  </si>
  <si>
    <t>PH_hs_0022544</t>
  </si>
  <si>
    <t>SMARCA5</t>
  </si>
  <si>
    <t>NP_003592.3</t>
  </si>
  <si>
    <t>ENSP00000283131</t>
  </si>
  <si>
    <t>PH_hs_0022546</t>
  </si>
  <si>
    <t>NCAM2</t>
  </si>
  <si>
    <t>Homo sapiens neural cell adhesion molecule 2 (NCAM2)</t>
  </si>
  <si>
    <t>NP_004531.2</t>
  </si>
  <si>
    <t>MDM1</t>
  </si>
  <si>
    <t>Homo sapiens Mdm1 nuclear protein homolog (mouse)</t>
  </si>
  <si>
    <t>PH_hs_0022560</t>
  </si>
  <si>
    <t>STAG1</t>
  </si>
  <si>
    <t>Homo sapiens stromal antigen 1 (STAG1)</t>
  </si>
  <si>
    <t>NP_005853.2</t>
  </si>
  <si>
    <t>PH_hs_0022563</t>
  </si>
  <si>
    <t>CASP3</t>
  </si>
  <si>
    <t>PH_hs_0022575</t>
  </si>
  <si>
    <t>EIF3K</t>
  </si>
  <si>
    <t>NP_037366.1</t>
  </si>
  <si>
    <t>SLC8A1</t>
  </si>
  <si>
    <t>Homo sapiens solute carrier family 8 (sodium/calcium exchanger)</t>
  </si>
  <si>
    <t>PH_hs_0022591</t>
  </si>
  <si>
    <t>METAP2</t>
  </si>
  <si>
    <t>Homo sapiens methionyl aminopeptidase 2 (METAP2)</t>
  </si>
  <si>
    <t>NP_006829.1</t>
  </si>
  <si>
    <t>ITGA4</t>
  </si>
  <si>
    <t>NP_000876.3</t>
  </si>
  <si>
    <t>PH_hs_0022596</t>
  </si>
  <si>
    <t>CAMKV</t>
  </si>
  <si>
    <t>Homo sapiens CaM kinase-like vesicle-associated (CAMKV)</t>
  </si>
  <si>
    <t>NP_076951.2</t>
  </si>
  <si>
    <t>UBR1</t>
  </si>
  <si>
    <t>Homo sapiens ubiquitin protein ligase E3 component n-recognin 1 (UBR1)</t>
  </si>
  <si>
    <t>NP_777576.1</t>
  </si>
  <si>
    <t>PH_hs_0022600</t>
  </si>
  <si>
    <t>UBL3</t>
  </si>
  <si>
    <t>Homo sapiens ubiquitin-like 3 (UBL3)</t>
  </si>
  <si>
    <t>NP_009037.1</t>
  </si>
  <si>
    <t>ENST00000380680</t>
  </si>
  <si>
    <t>ENSP00000370055</t>
  </si>
  <si>
    <t>KLF3</t>
  </si>
  <si>
    <t>Homo sapiens Kruppel-like factor 3 (basic)</t>
  </si>
  <si>
    <t>NP_057615.3</t>
  </si>
  <si>
    <t>PH_hs_0022617</t>
  </si>
  <si>
    <t>NUP153</t>
  </si>
  <si>
    <t>Homo sapiens nucleoporin 153kDa (NUP153)</t>
  </si>
  <si>
    <t>NP_005115.2</t>
  </si>
  <si>
    <t>PH_hs_0022618</t>
  </si>
  <si>
    <t>TOR1AIP2</t>
  </si>
  <si>
    <t>Homo sapiens torsin A interacting protein 2 (TOR1AIP2)</t>
  </si>
  <si>
    <t>PH_hs_0022619</t>
  </si>
  <si>
    <t>LEPROTL1</t>
  </si>
  <si>
    <t>Homo sapiens leptin receptor overlapping transcript-like 1 (LEPROTL1)</t>
  </si>
  <si>
    <t>NP_056159.2</t>
  </si>
  <si>
    <t>PH_hs_0022620</t>
  </si>
  <si>
    <t>UQCRQ</t>
  </si>
  <si>
    <t>NP_055217.2</t>
  </si>
  <si>
    <t>PH_hs_0022625</t>
  </si>
  <si>
    <t>ABCA1</t>
  </si>
  <si>
    <t>NP_005493.2</t>
  </si>
  <si>
    <t>PH_hs_0022637</t>
  </si>
  <si>
    <t>EIF1AX</t>
  </si>
  <si>
    <t>NP_001403.1</t>
  </si>
  <si>
    <t>PH_hs_0022639</t>
  </si>
  <si>
    <t>ZNF318</t>
  </si>
  <si>
    <t>Homo sapiens zinc finger protein 318 (ZNF318)</t>
  </si>
  <si>
    <t>NP_055160.2</t>
  </si>
  <si>
    <t>PH_hs_0022648</t>
  </si>
  <si>
    <t>RQCD1</t>
  </si>
  <si>
    <t>Homo sapiens RCD1 required for cell differentiation1 homolog (S. pombe)</t>
  </si>
  <si>
    <t>NP_001258564.1</t>
  </si>
  <si>
    <t>PH_hs_0022651</t>
  </si>
  <si>
    <t>C1orf50</t>
  </si>
  <si>
    <t>Homo sapiens chromosome 1 open reading frame 50 (C1orf50)</t>
  </si>
  <si>
    <t>PH_hs_0022653</t>
  </si>
  <si>
    <t>GGNBP2</t>
  </si>
  <si>
    <t>Homo sapiens gametogenetin binding protein 2 (GGNBP2)</t>
  </si>
  <si>
    <t>NP_079111.1</t>
  </si>
  <si>
    <t>PH_hs_0022655</t>
  </si>
  <si>
    <t>LRRN4</t>
  </si>
  <si>
    <t>Homo sapiens leucine rich repeat neuronal 4 (LRRN4)</t>
  </si>
  <si>
    <t>NP_689824.2</t>
  </si>
  <si>
    <t>ENST00000378858</t>
  </si>
  <si>
    <t>ENSP00000368135</t>
  </si>
  <si>
    <t>PH_hs_0022666</t>
  </si>
  <si>
    <t>LSM6</t>
  </si>
  <si>
    <t>NP_009011.1</t>
  </si>
  <si>
    <t>PH_hs_0022679</t>
  </si>
  <si>
    <t>BAZ2A</t>
  </si>
  <si>
    <t>NP_038477.2</t>
  </si>
  <si>
    <t>PRKCE</t>
  </si>
  <si>
    <t>NP_005391.1</t>
  </si>
  <si>
    <t>PH_hs_0022718</t>
  </si>
  <si>
    <t>GALNT7</t>
  </si>
  <si>
    <t>Homo sapiens polypeptide N-acetylgalactosaminyltransferase 7 (GALNT7)</t>
  </si>
  <si>
    <t>NP_059119.2</t>
  </si>
  <si>
    <t>PH_hs_0022720</t>
  </si>
  <si>
    <t>PIGN</t>
  </si>
  <si>
    <t>PH_hs_0022722</t>
  </si>
  <si>
    <t>XPO1</t>
  </si>
  <si>
    <t>Homo sapiens exportin 1 (XPO1)</t>
  </si>
  <si>
    <t>NP_003391.1</t>
  </si>
  <si>
    <t>PH_hs_0022729</t>
  </si>
  <si>
    <t>SETD7</t>
  </si>
  <si>
    <t>Homo sapiens SET domain containing (lysine methyltransferase)</t>
  </si>
  <si>
    <t>NP_085151.1</t>
  </si>
  <si>
    <t>ENSP00000295770</t>
  </si>
  <si>
    <t>TPD52</t>
  </si>
  <si>
    <t>Homo sapiens tumor protein D52 (TPD52)</t>
  </si>
  <si>
    <t>PH_hs_0022775</t>
  </si>
  <si>
    <t>TK1</t>
  </si>
  <si>
    <t>NP_003249.3</t>
  </si>
  <si>
    <t>PH_hs_0022785</t>
  </si>
  <si>
    <t>USP37</t>
  </si>
  <si>
    <t>Homo sapiens ubiquitin specific peptidase 37 (USP37)</t>
  </si>
  <si>
    <t>NP_065986.2</t>
  </si>
  <si>
    <t>PH_hs_0022790</t>
  </si>
  <si>
    <t>RBM12</t>
  </si>
  <si>
    <t>Homo sapiens RNA binding motif protein 12 (RBM12)</t>
  </si>
  <si>
    <t>ANKRD42</t>
  </si>
  <si>
    <t>Homo sapiens ankyrin repeat domain 42 (ANKRD42)</t>
  </si>
  <si>
    <t>NP_872409.2</t>
  </si>
  <si>
    <t>OCIAD1</t>
  </si>
  <si>
    <t>Homo sapiens OCIA domain containing 1 (OCIAD1)</t>
  </si>
  <si>
    <t>ECHDC2</t>
  </si>
  <si>
    <t>Homo sapiens enoyl CoA hydratase domain containing 2 (ECHDC2)</t>
  </si>
  <si>
    <t>CRLS1</t>
  </si>
  <si>
    <t>Homo sapiens cardiolipin synthase 1 (CRLS1)</t>
  </si>
  <si>
    <t>PH_hs_0022831</t>
  </si>
  <si>
    <t>EPRS</t>
  </si>
  <si>
    <t>Homo sapiens glutamyl-prolyl-tRNA synthetase (EPRS)</t>
  </si>
  <si>
    <t>NP_004437.2</t>
  </si>
  <si>
    <t>PH_hs_0022840</t>
  </si>
  <si>
    <t>REEP5</t>
  </si>
  <si>
    <t>Homo sapiens receptor accessory protein 5 (REEP5)</t>
  </si>
  <si>
    <t>NP_005660.4</t>
  </si>
  <si>
    <t>PBRM1</t>
  </si>
  <si>
    <t>Homo sapiens polybromo 1 (PBRM1)</t>
  </si>
  <si>
    <t>NP_060783.3</t>
  </si>
  <si>
    <t>ZNF24</t>
  </si>
  <si>
    <t>Homo sapiens zinc finger protein 24 (ZNF24)</t>
  </si>
  <si>
    <t>NP_008896.2</t>
  </si>
  <si>
    <t>PH_hs_0022866</t>
  </si>
  <si>
    <t>MDN1</t>
  </si>
  <si>
    <t>NP_055426.1</t>
  </si>
  <si>
    <t>MECR</t>
  </si>
  <si>
    <t>Homo sapiens mitochondrial trans-2-enoyl-CoA reductase (MECR)</t>
  </si>
  <si>
    <t>MSI2</t>
  </si>
  <si>
    <t>Homo sapiens musashi RNA-binding protein 2 (MSI2)</t>
  </si>
  <si>
    <t>PH_hs_0022888</t>
  </si>
  <si>
    <t>CLTC</t>
  </si>
  <si>
    <t>NP_004850.1</t>
  </si>
  <si>
    <t>MS4A7</t>
  </si>
  <si>
    <t>PH_hs_0022896</t>
  </si>
  <si>
    <t>ZNF106</t>
  </si>
  <si>
    <t>Homo sapiens zinc finger protein 106 (ZNF106)</t>
  </si>
  <si>
    <t>NP_071918.1</t>
  </si>
  <si>
    <t>PH_hs_0022897</t>
  </si>
  <si>
    <t>RPS6KA3</t>
  </si>
  <si>
    <t>NP_004577.1</t>
  </si>
  <si>
    <t>ZNF451</t>
  </si>
  <si>
    <t>Homo sapiens zinc finger protein 451 (ZNF451)</t>
  </si>
  <si>
    <t>PH_hs_0022910</t>
  </si>
  <si>
    <t>SLTM</t>
  </si>
  <si>
    <t>HAL</t>
  </si>
  <si>
    <t>Homo sapiens histidine ammonia-lyase (HAL)</t>
  </si>
  <si>
    <t>GOPC</t>
  </si>
  <si>
    <t>Homo sapiens golgi-associated PDZ and coiled-coil motif containing (GOPC)</t>
  </si>
  <si>
    <t>PH_hs_0022921</t>
  </si>
  <si>
    <t>TMEM263</t>
  </si>
  <si>
    <t>Homo sapiens transmembrane protein 263 (TMEM263)</t>
  </si>
  <si>
    <t>NP_689474.1</t>
  </si>
  <si>
    <t>PH_hs_0022937</t>
  </si>
  <si>
    <t>HELQ</t>
  </si>
  <si>
    <t>NP_598375.2</t>
  </si>
  <si>
    <t>PH_hs_0022939</t>
  </si>
  <si>
    <t>C11orf57</t>
  </si>
  <si>
    <t>Homo sapiens chromosome 11 open reading frame 57 (C11orf57)</t>
  </si>
  <si>
    <t>PH_hs_0022943</t>
  </si>
  <si>
    <t>RNF213</t>
  </si>
  <si>
    <t>Homo sapiens ring finger protein 213 (RNF213)</t>
  </si>
  <si>
    <t>NP_001243000.2</t>
  </si>
  <si>
    <t>PH_hs_0022953</t>
  </si>
  <si>
    <t>SHPRH</t>
  </si>
  <si>
    <t>PH_hs_0022955</t>
  </si>
  <si>
    <t>ADORA2A</t>
  </si>
  <si>
    <t>Homo sapiens adenosine A2a receptor (ADORA2A)</t>
  </si>
  <si>
    <t>NP_000666.2</t>
  </si>
  <si>
    <t>PH_hs_0022956</t>
  </si>
  <si>
    <t>HEATR5A</t>
  </si>
  <si>
    <t>Homo sapiens HEAT repeat containing 5A (HEATR5A)</t>
  </si>
  <si>
    <t>NP_056288.2</t>
  </si>
  <si>
    <t>PH_hs_0022957</t>
  </si>
  <si>
    <t>PSMB7</t>
  </si>
  <si>
    <t>NP_002790.1</t>
  </si>
  <si>
    <t>PH_hs_0022960</t>
  </si>
  <si>
    <t>RBM25</t>
  </si>
  <si>
    <t>Homo sapiens RNA binding motif protein 25 (RBM25)</t>
  </si>
  <si>
    <t>NP_067062.1</t>
  </si>
  <si>
    <t>PH_hs_0022962</t>
  </si>
  <si>
    <t>ANKRD24</t>
  </si>
  <si>
    <t>Homo sapiens ankyrin repeat domain 24 (ANKRD24)</t>
  </si>
  <si>
    <t>NP_597732.1</t>
  </si>
  <si>
    <t>TMEM213</t>
  </si>
  <si>
    <t>Homo sapiens transmembrane protein 213 (TMEM213)</t>
  </si>
  <si>
    <t>NP_001078898.1</t>
  </si>
  <si>
    <t>NDUFV3</t>
  </si>
  <si>
    <t>PH_hs_0022976</t>
  </si>
  <si>
    <t>TMEM87A</t>
  </si>
  <si>
    <t>Homo sapiens transmembrane protein 87A (TMEM87A)</t>
  </si>
  <si>
    <t>NP_056312.2</t>
  </si>
  <si>
    <t>PH_hs_0022981</t>
  </si>
  <si>
    <t>PAPOLA</t>
  </si>
  <si>
    <t>NP_116021.2</t>
  </si>
  <si>
    <t>PH_hs_0022983</t>
  </si>
  <si>
    <t>CKAP5</t>
  </si>
  <si>
    <t>Homo sapiens cytoskeleton associated protein 5 (CKAP5)</t>
  </si>
  <si>
    <t>EPHA5</t>
  </si>
  <si>
    <t>Homo sapiens EPH receptor A5 (EPHA5)</t>
  </si>
  <si>
    <t>POLR3H</t>
  </si>
  <si>
    <t>PH_hs_0023013</t>
  </si>
  <si>
    <t>DDHD1</t>
  </si>
  <si>
    <t>Homo sapiens DDHD domain containing 1 (DDHD1)</t>
  </si>
  <si>
    <t>PH_hs_0023023</t>
  </si>
  <si>
    <t>PLS1</t>
  </si>
  <si>
    <t>Homo sapiens plastin 1 (PLS1)</t>
  </si>
  <si>
    <t>PH_hs_0023024</t>
  </si>
  <si>
    <t>TMEM184C</t>
  </si>
  <si>
    <t>Homo sapiens transmembrane protein 184C (TMEM184C)</t>
  </si>
  <si>
    <t>NP_060711.2</t>
  </si>
  <si>
    <t>PH_hs_0023027</t>
  </si>
  <si>
    <t>HTATSF1</t>
  </si>
  <si>
    <t>Homo sapiens HIV-1 Tat specific factor 1 (HTATSF1)</t>
  </si>
  <si>
    <t>PH_hs_0023028</t>
  </si>
  <si>
    <t>BNIP2</t>
  </si>
  <si>
    <t>Homo sapiens BCL2/adenovirus E1B 19kDa interacting protein 2 (BNIP2)</t>
  </si>
  <si>
    <t>NP_004321.2</t>
  </si>
  <si>
    <t>SPTBN1</t>
  </si>
  <si>
    <t>PH_hs_0023035</t>
  </si>
  <si>
    <t>SMIM14</t>
  </si>
  <si>
    <t>Homo sapiens small integral membrane protein 14 (SMIM14)</t>
  </si>
  <si>
    <t>NP_777581.1</t>
  </si>
  <si>
    <t>PH_hs_0023037</t>
  </si>
  <si>
    <t>CLTA</t>
  </si>
  <si>
    <t>TIPRL</t>
  </si>
  <si>
    <t>Homo sapiens TOR signaling pathway regulator (TIPRL)</t>
  </si>
  <si>
    <t>NP_690866.1</t>
  </si>
  <si>
    <t>PH_hs_0023055</t>
  </si>
  <si>
    <t>LRBA</t>
  </si>
  <si>
    <t>PH_hs_0023059</t>
  </si>
  <si>
    <t>LRP6</t>
  </si>
  <si>
    <t>Homo sapiens low density lipoprotein receptor-related protein 6 (LRP6)</t>
  </si>
  <si>
    <t>NP_002327.2</t>
  </si>
  <si>
    <t>PH_hs_0023060</t>
  </si>
  <si>
    <t>SCAF11</t>
  </si>
  <si>
    <t>Homo sapiens SR-related CTD-associated factor 11 (SCAF11)</t>
  </si>
  <si>
    <t>NP_004710.2</t>
  </si>
  <si>
    <t>PH_hs_0023061</t>
  </si>
  <si>
    <t>HECW2</t>
  </si>
  <si>
    <t>NP_065811.1</t>
  </si>
  <si>
    <t>PH_hs_0023071</t>
  </si>
  <si>
    <t>EDNRA</t>
  </si>
  <si>
    <t>Homo sapiens endothelin receptor type A (EDNRA)</t>
  </si>
  <si>
    <t>PH_hs_0023077</t>
  </si>
  <si>
    <t>SMC1A</t>
  </si>
  <si>
    <t>Homo sapiens structural maintenance of chromosomes 1A (SMC1A)</t>
  </si>
  <si>
    <t>NP_006297.2</t>
  </si>
  <si>
    <t>PH_hs_0023084</t>
  </si>
  <si>
    <t>ITGA6</t>
  </si>
  <si>
    <t>PH_hs_0023085</t>
  </si>
  <si>
    <t>MGST3</t>
  </si>
  <si>
    <t>Homo sapiens microsomal glutathione S-transferase 3 (MGST3)</t>
  </si>
  <si>
    <t>NP_004519.1</t>
  </si>
  <si>
    <t>MAST4</t>
  </si>
  <si>
    <t>Homo sapiens microtubule associated serine/threonine kinase family member 4 (MAST4)</t>
  </si>
  <si>
    <t>PH_hs_0023097</t>
  </si>
  <si>
    <t>MEIOB</t>
  </si>
  <si>
    <t>Homo sapiens meiosis specific with OB domains (MEIOB)</t>
  </si>
  <si>
    <t>PH_hs_0023120</t>
  </si>
  <si>
    <t>SNAP25</t>
  </si>
  <si>
    <t>CCDC132</t>
  </si>
  <si>
    <t>Homo sapiens coiled-coil domain containing 132 (CCDC132)</t>
  </si>
  <si>
    <t>PH_hs_0023130</t>
  </si>
  <si>
    <t>CRYBG3</t>
  </si>
  <si>
    <t>Homo sapiens beta-gamma crystallin domain containing 3 (CRYBG3)</t>
  </si>
  <si>
    <t>NP_705833.3</t>
  </si>
  <si>
    <t>FGF14</t>
  </si>
  <si>
    <t>PH_hs_0023135</t>
  </si>
  <si>
    <t>PJA2</t>
  </si>
  <si>
    <t>NP_055634.3</t>
  </si>
  <si>
    <t>PH_hs_0023152</t>
  </si>
  <si>
    <t>C19orf53</t>
  </si>
  <si>
    <t>Homo sapiens chromosome 19 open reading frame 53 (C19orf53)</t>
  </si>
  <si>
    <t>NP_054766.1</t>
  </si>
  <si>
    <t>PH_hs_0023170</t>
  </si>
  <si>
    <t>COL6A3</t>
  </si>
  <si>
    <t>PH_hs_0023171</t>
  </si>
  <si>
    <t>HFE</t>
  </si>
  <si>
    <t>Homo sapiens hemochromatosis (HFE)</t>
  </si>
  <si>
    <t>FOXP1</t>
  </si>
  <si>
    <t>Homo sapiens forkhead box P1 (FOXP1)</t>
  </si>
  <si>
    <t>PH_hs_0023184</t>
  </si>
  <si>
    <t>PH_hs_0023193</t>
  </si>
  <si>
    <t>PLEKHA5</t>
  </si>
  <si>
    <t>PH_hs_0023198</t>
  </si>
  <si>
    <t>CASP8</t>
  </si>
  <si>
    <t>PH_hs_0023205</t>
  </si>
  <si>
    <t>NACC2</t>
  </si>
  <si>
    <t>NP_653254.1</t>
  </si>
  <si>
    <t>PH_hs_0023208</t>
  </si>
  <si>
    <t>GCHFR</t>
  </si>
  <si>
    <t>Homo sapiens GTP cyclohydrolase I feedback regulator (GCHFR)</t>
  </si>
  <si>
    <t>NP_005249.1</t>
  </si>
  <si>
    <t>PH_hs_0023213</t>
  </si>
  <si>
    <t>PCGF5</t>
  </si>
  <si>
    <t>Homo sapiens polycomb group ring finger 5 (PCGF5)</t>
  </si>
  <si>
    <t>PH_hs_0023221</t>
  </si>
  <si>
    <t>DENND4C</t>
  </si>
  <si>
    <t>Homo sapiens DENN/MADD domain containing 4C (DENND4C)</t>
  </si>
  <si>
    <t>PH_hs_0023227</t>
  </si>
  <si>
    <t>PPP2R5C</t>
  </si>
  <si>
    <t>TBX18</t>
  </si>
  <si>
    <t>Homo sapiens T-box 18 (TBX18)</t>
  </si>
  <si>
    <t>NP_001073977.1</t>
  </si>
  <si>
    <t>SEMA3A</t>
  </si>
  <si>
    <t>NP_006071.1</t>
  </si>
  <si>
    <t>ZDHHC15</t>
  </si>
  <si>
    <t>CAMTA1</t>
  </si>
  <si>
    <t>Homo sapiens calmodulin binding transcription activator 1 (CAMTA1)</t>
  </si>
  <si>
    <t>PH_hs_0023254</t>
  </si>
  <si>
    <t>MNT</t>
  </si>
  <si>
    <t>Homo sapiens MAX network transcriptional repressor (MNT)</t>
  </si>
  <si>
    <t>NP_064706.1</t>
  </si>
  <si>
    <t>PH_hs_0023263</t>
  </si>
  <si>
    <t>MAP7</t>
  </si>
  <si>
    <t>Homo sapiens microtubule-associated protein 7 (MAP7)</t>
  </si>
  <si>
    <t>PH_hs_0023265</t>
  </si>
  <si>
    <t>ZCCHC2</t>
  </si>
  <si>
    <t>NP_060212.4</t>
  </si>
  <si>
    <t>PH_hs_0023267</t>
  </si>
  <si>
    <t>EXOSC7</t>
  </si>
  <si>
    <t>Homo sapiens exosome component 7 (EXOSC7)</t>
  </si>
  <si>
    <t>NP_055819.2</t>
  </si>
  <si>
    <t>ENSP00000265564</t>
  </si>
  <si>
    <t>PH_hs_0023270</t>
  </si>
  <si>
    <t>MAN1A1</t>
  </si>
  <si>
    <t>NP_005898.2</t>
  </si>
  <si>
    <t>ENST00000368468</t>
  </si>
  <si>
    <t>ENSP00000357453</t>
  </si>
  <si>
    <t>PH_hs_0023288</t>
  </si>
  <si>
    <t>HEATR1</t>
  </si>
  <si>
    <t>Homo sapiens HEAT repeat containing 1 (HEATR1)</t>
  </si>
  <si>
    <t>NP_060542.4</t>
  </si>
  <si>
    <t>PH_hs_0023291</t>
  </si>
  <si>
    <t>PDCD4</t>
  </si>
  <si>
    <t>Homo sapiens programmed cell death 4 (neoplastic transformation inhibitor)</t>
  </si>
  <si>
    <t>KMT2A</t>
  </si>
  <si>
    <t>PH_hs_0023299</t>
  </si>
  <si>
    <t>CHIC2</t>
  </si>
  <si>
    <t>Homo sapiens cysteine-rich hydrophobic domain 2 (CHIC2)</t>
  </si>
  <si>
    <t>NP_036242.1</t>
  </si>
  <si>
    <t>CDC73</t>
  </si>
  <si>
    <t>Homo sapiens cell division cycle 73 (CDC73)</t>
  </si>
  <si>
    <t>NP_078805.3</t>
  </si>
  <si>
    <t>ENSP00000356405</t>
  </si>
  <si>
    <t>PH_hs_0023306</t>
  </si>
  <si>
    <t>CCDC176</t>
  </si>
  <si>
    <t>Homo sapiens coiled-coil domain containing 176 (CCDC176)</t>
  </si>
  <si>
    <t>NP_079333.2</t>
  </si>
  <si>
    <t>PH_hs_0023314</t>
  </si>
  <si>
    <t>TRAPPC2L</t>
  </si>
  <si>
    <t>Homo sapiens trafficking protein particle complex 2-like (TRAPPC2L)</t>
  </si>
  <si>
    <t>NP_057293.1</t>
  </si>
  <si>
    <t>PH_hs_0023319</t>
  </si>
  <si>
    <t>TTYH1</t>
  </si>
  <si>
    <t>Homo sapiens tweety family member 1 (TTYH1)</t>
  </si>
  <si>
    <t>LRRFIP2</t>
  </si>
  <si>
    <t>Homo sapiens leucine rich repeat (in FLII)</t>
  </si>
  <si>
    <t>TOMM6</t>
  </si>
  <si>
    <t>Homo sapiens translocase of outer mitochondrial membrane 6 homolog (yeast)</t>
  </si>
  <si>
    <t>NP_001127965.1</t>
  </si>
  <si>
    <t>PH_hs_0023331</t>
  </si>
  <si>
    <t>SNX13</t>
  </si>
  <si>
    <t>Homo sapiens sorting nexin 13 (SNX13)</t>
  </si>
  <si>
    <t>NP_055947.1</t>
  </si>
  <si>
    <t>PH_hs_0023336</t>
  </si>
  <si>
    <t>SDAD1</t>
  </si>
  <si>
    <t>Homo sapiens SDA1 domain containing 1 (SDAD1)</t>
  </si>
  <si>
    <t>NP_060585.2</t>
  </si>
  <si>
    <t>PH_hs_0023337</t>
  </si>
  <si>
    <t>LRRC75A-AS1</t>
  </si>
  <si>
    <t>Homo sapiens LRRC75A antisense RNA 1 (LRRC75A-AS1)</t>
  </si>
  <si>
    <t>PH_hs_0023340</t>
  </si>
  <si>
    <t>FERMT2</t>
  </si>
  <si>
    <t>Homo sapiens fermitin family member 2 (FERMT2)</t>
  </si>
  <si>
    <t>PH_hs_0023341</t>
  </si>
  <si>
    <t>SUCLG1</t>
  </si>
  <si>
    <t>NP_003840.2</t>
  </si>
  <si>
    <t>GPR161</t>
  </si>
  <si>
    <t>Homo sapiens G protein-coupled receptor 161 (GPR161)</t>
  </si>
  <si>
    <t>PH_hs_0023358</t>
  </si>
  <si>
    <t>SKIL</t>
  </si>
  <si>
    <t>Homo sapiens SKI-like proto-oncogene (SKIL)</t>
  </si>
  <si>
    <t>PH_hs_0023361</t>
  </si>
  <si>
    <t>KLHL5</t>
  </si>
  <si>
    <t>Homo sapiens kelch-like family member 5 (KLHL5)</t>
  </si>
  <si>
    <t>PH_hs_0023364</t>
  </si>
  <si>
    <t>EXOC6</t>
  </si>
  <si>
    <t>Homo sapiens exocyst complex component 6 (EXOC6)</t>
  </si>
  <si>
    <t>PH_hs_0023382</t>
  </si>
  <si>
    <t>HACE1</t>
  </si>
  <si>
    <t>Homo sapiens HECT domain and ankyrin repeat containing E3 ubiquitin protein ligase 1 (HACE1)</t>
  </si>
  <si>
    <t>NP_065822.2</t>
  </si>
  <si>
    <t>PH_hs_0023387</t>
  </si>
  <si>
    <t>MASTL</t>
  </si>
  <si>
    <t>Homo sapiens microtubule associated serine/threonine kinase-like (MASTL)</t>
  </si>
  <si>
    <t>FGF1</t>
  </si>
  <si>
    <t>Homo sapiens fibroblast growth factor 1 (acidic)</t>
  </si>
  <si>
    <t>PH_hs_0023413</t>
  </si>
  <si>
    <t>TACC1</t>
  </si>
  <si>
    <t>AGPAT5</t>
  </si>
  <si>
    <t>Homo sapiens 1-acylglycerol-3-phosphate O-acyltransferase 5 (AGPAT5)</t>
  </si>
  <si>
    <t>NP_060831.2</t>
  </si>
  <si>
    <t>PH_hs_0023444</t>
  </si>
  <si>
    <t>RPE</t>
  </si>
  <si>
    <t>Homo sapiens ribulose-5-phosphate-3-epimerase (RPE)</t>
  </si>
  <si>
    <t>GSK3B</t>
  </si>
  <si>
    <t>Homo sapiens glycogen synthase kinase 3 beta (GSK3B)</t>
  </si>
  <si>
    <t>PH_hs_0023454</t>
  </si>
  <si>
    <t>TRMT11</t>
  </si>
  <si>
    <t>Homo sapiens tRNA methyltransferase 11 homolog (S. cerevisiae)</t>
  </si>
  <si>
    <t>NP_001026882.2</t>
  </si>
  <si>
    <t>PH_hs_0023461</t>
  </si>
  <si>
    <t>N6AMT2</t>
  </si>
  <si>
    <t>Homo sapiens N-6 adenine-specific DNA methyltransferase 2 (putative)</t>
  </si>
  <si>
    <t>NP_777588.1</t>
  </si>
  <si>
    <t>LDLRAD4</t>
  </si>
  <si>
    <t>Homo sapiens low density lipoprotein receptor class A domain containing 4 (LDLRAD4)</t>
  </si>
  <si>
    <t>BCAS3</t>
  </si>
  <si>
    <t>Homo sapiens breast carcinoma amplified sequence 3 (BCAS3)</t>
  </si>
  <si>
    <t>PH_hs_0023498</t>
  </si>
  <si>
    <t>IFI6</t>
  </si>
  <si>
    <t>PH_hs_0023502</t>
  </si>
  <si>
    <t>TROVE2</t>
  </si>
  <si>
    <t>COA1</t>
  </si>
  <si>
    <t>Homo sapiens cytochrome c oxidase assembly factor 1 homolog (S. cerevisiae)</t>
  </si>
  <si>
    <t>PH_hs_0023526</t>
  </si>
  <si>
    <t>ZNF573</t>
  </si>
  <si>
    <t>Homo sapiens zinc finger protein 573 (ZNF573)</t>
  </si>
  <si>
    <t>PH_hs_0023555</t>
  </si>
  <si>
    <t>MCFD2</t>
  </si>
  <si>
    <t>Homo sapiens multiple coagulation factor deficiency 2 (MCFD2)</t>
  </si>
  <si>
    <t>MYEOV2</t>
  </si>
  <si>
    <t>Homo sapiens myeloma overexpressed 2 (MYEOV2)</t>
  </si>
  <si>
    <t>PH_hs_0023565</t>
  </si>
  <si>
    <t>UTP20</t>
  </si>
  <si>
    <t>NP_055318.2</t>
  </si>
  <si>
    <t>ENSP00000261637</t>
  </si>
  <si>
    <t>PH_hs_0023569</t>
  </si>
  <si>
    <t>RUFY2</t>
  </si>
  <si>
    <t>Homo sapiens RUN and FYVE domain containing 2 (RUFY2)</t>
  </si>
  <si>
    <t>PH_hs_0023576</t>
  </si>
  <si>
    <t>U2AF2</t>
  </si>
  <si>
    <t>Homo sapiens U2 small nuclear RNA auxiliary factor 2 (U2AF2)</t>
  </si>
  <si>
    <t>PH_hs_0023583</t>
  </si>
  <si>
    <t>ATAD2</t>
  </si>
  <si>
    <t>NP_054828.2</t>
  </si>
  <si>
    <t>PH_hs_0023595</t>
  </si>
  <si>
    <t>TCERG1</t>
  </si>
  <si>
    <t>Homo sapiens transcription elongation regulator 1 (TCERG1)</t>
  </si>
  <si>
    <t>PH_hs_0023600</t>
  </si>
  <si>
    <t>KNTC1</t>
  </si>
  <si>
    <t>Homo sapiens kinetochore associated 1 (KNTC1)</t>
  </si>
  <si>
    <t>NP_055523.1</t>
  </si>
  <si>
    <t>PH_hs_0023601</t>
  </si>
  <si>
    <t>AKT3</t>
  </si>
  <si>
    <t>Homo sapiens v-akt murine thymoma viral oncogene homolog 3 (AKT3)</t>
  </si>
  <si>
    <t>NP_005456.1</t>
  </si>
  <si>
    <t>PH_hs_0023620</t>
  </si>
  <si>
    <t>MIDN</t>
  </si>
  <si>
    <t>Homo sapiens midnolin (MIDN)</t>
  </si>
  <si>
    <t>NP_796375.3</t>
  </si>
  <si>
    <t>PH_hs_0023674</t>
  </si>
  <si>
    <t>ABCC4</t>
  </si>
  <si>
    <t>NP_005836.2</t>
  </si>
  <si>
    <t>PH_hs_0023684</t>
  </si>
  <si>
    <t>LUC7L2|C7orf55-LUC7L2</t>
  </si>
  <si>
    <t>Homo sapiens LUC7-like 2 (S. cerevisiae)|Homo sapiens C7orf55-LUC7L2 readthrough (C7orf55-LUC7L2)</t>
  </si>
  <si>
    <t>51631|100996928</t>
  </si>
  <si>
    <t>ENSG00000146963|ENSG00000269955</t>
  </si>
  <si>
    <t>PH_hs_0023685</t>
  </si>
  <si>
    <t>EDEM3</t>
  </si>
  <si>
    <t>NP_079467.3</t>
  </si>
  <si>
    <t>PH_hs_0023698</t>
  </si>
  <si>
    <t>OSBPL5</t>
  </si>
  <si>
    <t>Homo sapiens oxysterol binding protein-like 5 (OSBPL5)</t>
  </si>
  <si>
    <t>PH_hs_0023705</t>
  </si>
  <si>
    <t>PAK1IP1</t>
  </si>
  <si>
    <t>Homo sapiens PAK1 interacting protein 1 (PAK1IP1)</t>
  </si>
  <si>
    <t>NP_060376.2</t>
  </si>
  <si>
    <t>ENST00000379568</t>
  </si>
  <si>
    <t>ENSP00000368887</t>
  </si>
  <si>
    <t>ARFGEF2</t>
  </si>
  <si>
    <t>Homo sapiens ADP-ribosylation factor guanine nucleotide-exchange factor 2 (brefeldin A-inhibited)</t>
  </si>
  <si>
    <t>NP_006411.2</t>
  </si>
  <si>
    <t>ENSP00000360985</t>
  </si>
  <si>
    <t>PH_hs_0023720</t>
  </si>
  <si>
    <t>XPO4</t>
  </si>
  <si>
    <t>Homo sapiens exportin 4 (XPO4)</t>
  </si>
  <si>
    <t>NP_071904.4</t>
  </si>
  <si>
    <t>PH_hs_0023723</t>
  </si>
  <si>
    <t>CWC22</t>
  </si>
  <si>
    <t>Homo sapiens CWC22 spliceosome-associated protein (CWC22)</t>
  </si>
  <si>
    <t>NP_065994.1</t>
  </si>
  <si>
    <t>PH_hs_0023725</t>
  </si>
  <si>
    <t>NOTCH1</t>
  </si>
  <si>
    <t>Homo sapiens notch 1 (NOTCH1)</t>
  </si>
  <si>
    <t>NP_060087.3</t>
  </si>
  <si>
    <t>ENSP00000277541</t>
  </si>
  <si>
    <t>PH_hs_0023731</t>
  </si>
  <si>
    <t>ALDH7A1</t>
  </si>
  <si>
    <t>PH_hs_0023732</t>
  </si>
  <si>
    <t>ORC3</t>
  </si>
  <si>
    <t>PH_hs_0023734</t>
  </si>
  <si>
    <t>FBXW7</t>
  </si>
  <si>
    <t>PH_hs_0023735</t>
  </si>
  <si>
    <t>AQP11</t>
  </si>
  <si>
    <t>Homo sapiens aquaporin 11 (AQP11)</t>
  </si>
  <si>
    <t>NP_766627.1</t>
  </si>
  <si>
    <t>ENSP00000318770</t>
  </si>
  <si>
    <t>PH_hs_0023752</t>
  </si>
  <si>
    <t>BCL11A</t>
  </si>
  <si>
    <t>Homo sapiens B-cell CLL/lymphoma 11A (zinc finger protein)</t>
  </si>
  <si>
    <t>NP_075044.2</t>
  </si>
  <si>
    <t>PH_hs_0023755</t>
  </si>
  <si>
    <t>UPP1</t>
  </si>
  <si>
    <t>Homo sapiens uridine phosphorylase 1 (UPP1)</t>
  </si>
  <si>
    <t>NP_003355.1</t>
  </si>
  <si>
    <t>PH_hs_0023759</t>
  </si>
  <si>
    <t>EIF1B</t>
  </si>
  <si>
    <t>Homo sapiens eukaryotic translation initiation factor 1B (EIF1B)</t>
  </si>
  <si>
    <t>NP_005866.1</t>
  </si>
  <si>
    <t>ENSP00000232905</t>
  </si>
  <si>
    <t>PH_hs_0023769</t>
  </si>
  <si>
    <t>ARID2</t>
  </si>
  <si>
    <t>NP_689854.2</t>
  </si>
  <si>
    <t>PH_hs_0023782</t>
  </si>
  <si>
    <t>PLA2G5</t>
  </si>
  <si>
    <t>NP_000920.1</t>
  </si>
  <si>
    <t>ENSP00000364249</t>
  </si>
  <si>
    <t>PH_hs_0023794</t>
  </si>
  <si>
    <t>BTBD1</t>
  </si>
  <si>
    <t>PH_hs_0023844</t>
  </si>
  <si>
    <t>TRMT112</t>
  </si>
  <si>
    <t>Homo sapiens tRNA methyltransferase 11-2 homolog (S. cerevisiae)</t>
  </si>
  <si>
    <t>NP_057488.1</t>
  </si>
  <si>
    <t>TNFRSF19</t>
  </si>
  <si>
    <t>PH_hs_0023859</t>
  </si>
  <si>
    <t>CCL28</t>
  </si>
  <si>
    <t>NP_683513.1</t>
  </si>
  <si>
    <t>PH_hs_0023865</t>
  </si>
  <si>
    <t>QPRT</t>
  </si>
  <si>
    <t>Homo sapiens quinolinate phosphoribosyltransferase (QPRT)</t>
  </si>
  <si>
    <t>NP_055113.2</t>
  </si>
  <si>
    <t>PH_hs_0023881</t>
  </si>
  <si>
    <t>KANSL3</t>
  </si>
  <si>
    <t>Homo sapiens KAT8 regulatory NSL complex subunit 3 (KANSL3)</t>
  </si>
  <si>
    <t>APOBEC3F</t>
  </si>
  <si>
    <t>ELOVL5</t>
  </si>
  <si>
    <t>Homo sapiens ELOVL fatty acid elongase 5 (ELOVL5)</t>
  </si>
  <si>
    <t>PH_hs_0023898</t>
  </si>
  <si>
    <t>HEMK1</t>
  </si>
  <si>
    <t>Homo sapiens HemK methyltransferase family member 1 (HEMK1)</t>
  </si>
  <si>
    <t>NP_057257.1</t>
  </si>
  <si>
    <t>PH_hs_0023899</t>
  </si>
  <si>
    <t>TESC</t>
  </si>
  <si>
    <t>Homo sapiens tescalcin (TESC)</t>
  </si>
  <si>
    <t>PH_hs_0023903</t>
  </si>
  <si>
    <t>FRRS1L</t>
  </si>
  <si>
    <t>Homo sapiens ferric-chelate reductase 1-like (FRRS1L)</t>
  </si>
  <si>
    <t>NP_055149.2</t>
  </si>
  <si>
    <t>ENST00000561981</t>
  </si>
  <si>
    <t>ENSP00000477141</t>
  </si>
  <si>
    <t>CUL1</t>
  </si>
  <si>
    <t>Homo sapiens cullin 1 (CUL1)</t>
  </si>
  <si>
    <t>NP_003583.2</t>
  </si>
  <si>
    <t>DR1</t>
  </si>
  <si>
    <t>NP_001929.1</t>
  </si>
  <si>
    <t>PH_hs_0023918</t>
  </si>
  <si>
    <t>BAMBI</t>
  </si>
  <si>
    <t>Homo sapiens BMP and activin membrane-bound inhibitor (BAMBI)</t>
  </si>
  <si>
    <t>NP_036474.1</t>
  </si>
  <si>
    <t>ENSP00000364683</t>
  </si>
  <si>
    <t>Homo sapiens solute carrier family 1 (glial high affinity glutamate transporter)</t>
  </si>
  <si>
    <t>PH_hs_0023923</t>
  </si>
  <si>
    <t>RMDN1</t>
  </si>
  <si>
    <t>Homo sapiens regulator of microtubule dynamics 1 (RMDN1)</t>
  </si>
  <si>
    <t>NP_057117.2</t>
  </si>
  <si>
    <t>PH_hs_0023954</t>
  </si>
  <si>
    <t>PSMB1</t>
  </si>
  <si>
    <t>NP_002784.1</t>
  </si>
  <si>
    <t>ENSP00000262193</t>
  </si>
  <si>
    <t>PH_hs_0023965</t>
  </si>
  <si>
    <t>PTPRK</t>
  </si>
  <si>
    <t>PH_hs_0023972</t>
  </si>
  <si>
    <t>IMMP1L</t>
  </si>
  <si>
    <t>Homo sapiens IMP1 inner mitochondrial membrane peptidase-like (S. cerevisiae)</t>
  </si>
  <si>
    <t>NP_659418.1</t>
  </si>
  <si>
    <t>PH_hs_0023974</t>
  </si>
  <si>
    <t>ZBTB43</t>
  </si>
  <si>
    <t>Homo sapiens zinc finger and BTB domain containing 43 (ZBTB43)</t>
  </si>
  <si>
    <t>PH_hs_0023975</t>
  </si>
  <si>
    <t>NUP107</t>
  </si>
  <si>
    <t>Homo sapiens nucleoporin 107kDa (NUP107)</t>
  </si>
  <si>
    <t>NP_065134.1</t>
  </si>
  <si>
    <t>PH_hs_0023976</t>
  </si>
  <si>
    <t>NUFIP2</t>
  </si>
  <si>
    <t>Homo sapiens nuclear fragile X mental retardation protein interacting protein 2 (NUFIP2)</t>
  </si>
  <si>
    <t>NP_065823.1</t>
  </si>
  <si>
    <t>PH_hs_0023978</t>
  </si>
  <si>
    <t>CARHSP1</t>
  </si>
  <si>
    <t>PH_hs_0023985</t>
  </si>
  <si>
    <t>EDRF1</t>
  </si>
  <si>
    <t>Homo sapiens erythroid differentiation regulatory factor 1 (EDRF1)</t>
  </si>
  <si>
    <t>XIAP</t>
  </si>
  <si>
    <t>PH_hs_0024009</t>
  </si>
  <si>
    <t>ENSG00000205268</t>
  </si>
  <si>
    <t>PH_hs_0024017</t>
  </si>
  <si>
    <t>BIRC6</t>
  </si>
  <si>
    <t>Homo sapiens baculoviral IAP repeat containing 6 (BIRC6)</t>
  </si>
  <si>
    <t>NP_057336.3</t>
  </si>
  <si>
    <t>PH_hs_0024037</t>
  </si>
  <si>
    <t>DDX18</t>
  </si>
  <si>
    <t>NP_006764.3</t>
  </si>
  <si>
    <t>PH_hs_0024039</t>
  </si>
  <si>
    <t>SLC30A9</t>
  </si>
  <si>
    <t>NP_006336.3</t>
  </si>
  <si>
    <t>STYX</t>
  </si>
  <si>
    <t>Homo sapiens serine/threonine/tyrosine interacting protein (STYX)</t>
  </si>
  <si>
    <t>PH_hs_0024051</t>
  </si>
  <si>
    <t>HAPLN4</t>
  </si>
  <si>
    <t>Homo sapiens hyaluronan and proteoglycan link protein 4 (HAPLN4)</t>
  </si>
  <si>
    <t>NP_075378.1</t>
  </si>
  <si>
    <t>ENSP00000291481</t>
  </si>
  <si>
    <t>PH_hs_0024063</t>
  </si>
  <si>
    <t>PAQR3</t>
  </si>
  <si>
    <t>Homo sapiens progestin and adipoQ receptor family member III (PAQR3)</t>
  </si>
  <si>
    <t>NP_001035292.1</t>
  </si>
  <si>
    <t>PH_hs_0024074</t>
  </si>
  <si>
    <t>ZC3H15</t>
  </si>
  <si>
    <t>Homo sapiens zinc finger CCCH-type containing 15 (ZC3H15)</t>
  </si>
  <si>
    <t>NP_060941.2</t>
  </si>
  <si>
    <t>PH_hs_0024082</t>
  </si>
  <si>
    <t>TBX3</t>
  </si>
  <si>
    <t>Homo sapiens T-box 3 (TBX3)</t>
  </si>
  <si>
    <t>PH_hs_0024090</t>
  </si>
  <si>
    <t>MEF2C</t>
  </si>
  <si>
    <t>Homo sapiens myocyte enhancer factor 2C (MEF2C)</t>
  </si>
  <si>
    <t>PH_hs_0024092</t>
  </si>
  <si>
    <t>ZIC2</t>
  </si>
  <si>
    <t>Homo sapiens Zic family member 2 (ZIC2)</t>
  </si>
  <si>
    <t>NP_009060.2</t>
  </si>
  <si>
    <t>PH_hs_0024099</t>
  </si>
  <si>
    <t>TLK1</t>
  </si>
  <si>
    <t>Homo sapiens tousled-like kinase 1 (TLK1)</t>
  </si>
  <si>
    <t>PH_hs_0024102</t>
  </si>
  <si>
    <t>SRPK1</t>
  </si>
  <si>
    <t>Homo sapiens SRSF protein kinase 1 (SRPK1)</t>
  </si>
  <si>
    <t>PH_hs_0024109</t>
  </si>
  <si>
    <t>FASTKD1</t>
  </si>
  <si>
    <t>Homo sapiens FAST kinase domains 1 (FASTKD1)</t>
  </si>
  <si>
    <t>NP_078898.3</t>
  </si>
  <si>
    <t>DAZAP2</t>
  </si>
  <si>
    <t>Homo sapiens DAZ associated protein 2 (DAZAP2)</t>
  </si>
  <si>
    <t>PH_hs_0024119</t>
  </si>
  <si>
    <t>ARL13B</t>
  </si>
  <si>
    <t>Homo sapiens ADP-ribosylation factor-like 13B (ARL13B)</t>
  </si>
  <si>
    <t>PH_hs_0024133</t>
  </si>
  <si>
    <t>WAC</t>
  </si>
  <si>
    <t>Homo sapiens WW domain containing adaptor with coiled-coil (WAC)</t>
  </si>
  <si>
    <t>PH_hs_0024134</t>
  </si>
  <si>
    <t>ZYG11B</t>
  </si>
  <si>
    <t>NP_078922.1</t>
  </si>
  <si>
    <t>PH_hs_0024142</t>
  </si>
  <si>
    <t>DCLRE1C</t>
  </si>
  <si>
    <t>Homo sapiens DNA cross-link repair 1C (DCLRE1C)</t>
  </si>
  <si>
    <t>PH_hs_0024151</t>
  </si>
  <si>
    <t>ENSG00000050438</t>
  </si>
  <si>
    <t>PH_hs_0024172</t>
  </si>
  <si>
    <t>ATP13A3</t>
  </si>
  <si>
    <t>Homo sapiens ATPase type 13A3 (ATP13A3)</t>
  </si>
  <si>
    <t>NP_078800.3</t>
  </si>
  <si>
    <t>PH_hs_0024179</t>
  </si>
  <si>
    <t>ZNF227</t>
  </si>
  <si>
    <t>Homo sapiens zinc finger protein 227 (ZNF227)</t>
  </si>
  <si>
    <t>NP_872296.1</t>
  </si>
  <si>
    <t>PH_hs_0024181</t>
  </si>
  <si>
    <t>SH2B2</t>
  </si>
  <si>
    <t>Homo sapiens SH2B adaptor protein 2 (SH2B2)</t>
  </si>
  <si>
    <t>NP_066189.3</t>
  </si>
  <si>
    <t>PH_hs_0024185</t>
  </si>
  <si>
    <t>CNRIP1</t>
  </si>
  <si>
    <t>Homo sapiens cannabinoid receptor interacting protein 1 (CNRIP1)</t>
  </si>
  <si>
    <t>NP_056278.1</t>
  </si>
  <si>
    <t>PH_hs_0024186</t>
  </si>
  <si>
    <t>PPP1R13B</t>
  </si>
  <si>
    <t>NP_056131.2</t>
  </si>
  <si>
    <t>PH_hs_0024193</t>
  </si>
  <si>
    <t>PNOC</t>
  </si>
  <si>
    <t>Homo sapiens prepronociceptin (PNOC)</t>
  </si>
  <si>
    <t>NP_006219.1</t>
  </si>
  <si>
    <t>PH_hs_0024206</t>
  </si>
  <si>
    <t>KLHL8</t>
  </si>
  <si>
    <t>Homo sapiens kelch-like family member 8 (KLHL8)</t>
  </si>
  <si>
    <t>NP_065854.3</t>
  </si>
  <si>
    <t>PH_hs_0024208</t>
  </si>
  <si>
    <t>AKR1A1</t>
  </si>
  <si>
    <t>PH_hs_0024212</t>
  </si>
  <si>
    <t>CLCN3</t>
  </si>
  <si>
    <t>PH_hs_0024222</t>
  </si>
  <si>
    <t>HMGA2</t>
  </si>
  <si>
    <t>Homo sapiens high mobility group AT-hook 2 (HMGA2)</t>
  </si>
  <si>
    <t>NP_003474.1</t>
  </si>
  <si>
    <t>PH_hs_0024230</t>
  </si>
  <si>
    <t>RBX1</t>
  </si>
  <si>
    <t>NP_055063.1</t>
  </si>
  <si>
    <t>ENSP00000216225</t>
  </si>
  <si>
    <t>PH_hs_0024231</t>
  </si>
  <si>
    <t>KIF21A</t>
  </si>
  <si>
    <t>Homo sapiens kinesin family member 21A (KIF21A)</t>
  </si>
  <si>
    <t>PH_hs_0024235</t>
  </si>
  <si>
    <t>ERAP2</t>
  </si>
  <si>
    <t>Homo sapiens endoplasmic reticulum aminopeptidase 2 (ERAP2)</t>
  </si>
  <si>
    <t>PH_hs_0024237</t>
  </si>
  <si>
    <t>RPL17</t>
  </si>
  <si>
    <t>Homo sapiens ribosomal protein L17 (RPL17)</t>
  </si>
  <si>
    <t>PH_hs_0024238</t>
  </si>
  <si>
    <t>TPT1</t>
  </si>
  <si>
    <t>NP_003286.1</t>
  </si>
  <si>
    <t>CTTNBP2NL</t>
  </si>
  <si>
    <t>Homo sapiens CTTNBP2 N-terminal like (CTTNBP2NL)</t>
  </si>
  <si>
    <t>NP_061174.1</t>
  </si>
  <si>
    <t>PDLIM2</t>
  </si>
  <si>
    <t>Homo sapiens PDZ and LIM domain 2 (mystique)</t>
  </si>
  <si>
    <t>PH_hs_0024270</t>
  </si>
  <si>
    <t>KLHL7</t>
  </si>
  <si>
    <t>Homo sapiens kelch-like family member 7 (KLHL7)</t>
  </si>
  <si>
    <t>PH_hs_0024280</t>
  </si>
  <si>
    <t>MTDH</t>
  </si>
  <si>
    <t>Homo sapiens metadherin (MTDH)</t>
  </si>
  <si>
    <t>NP_848927.2</t>
  </si>
  <si>
    <t>PH_hs_0024285</t>
  </si>
  <si>
    <t>TPMT</t>
  </si>
  <si>
    <t>Homo sapiens thiopurine S-methyltransferase (TPMT)</t>
  </si>
  <si>
    <t>NP_000358.1</t>
  </si>
  <si>
    <t>ENST00000309983</t>
  </si>
  <si>
    <t>ENSP00000312304</t>
  </si>
  <si>
    <t>PH_hs_0024287</t>
  </si>
  <si>
    <t>PH_hs_0024288</t>
  </si>
  <si>
    <t>FNIP2</t>
  </si>
  <si>
    <t>Homo sapiens folliculin interacting protein 2 (FNIP2)</t>
  </si>
  <si>
    <t>NP_065891.1</t>
  </si>
  <si>
    <t>PH_hs_0024307</t>
  </si>
  <si>
    <t>RABGAP1L</t>
  </si>
  <si>
    <t>Homo sapiens RAB GTPase activating protein 1-like (RABGAP1L)</t>
  </si>
  <si>
    <t>PH_hs_0024317</t>
  </si>
  <si>
    <t>TRMT10A</t>
  </si>
  <si>
    <t>Homo sapiens tRNA methyltransferase 10 homolog A (S. cerevisiae)</t>
  </si>
  <si>
    <t>PH_hs_0024319</t>
  </si>
  <si>
    <t>UVSSA</t>
  </si>
  <si>
    <t>Homo sapiens UV-stimulated scaffold protein A (UVSSA)</t>
  </si>
  <si>
    <t>NP_065945.2</t>
  </si>
  <si>
    <t>PH_hs_0024328</t>
  </si>
  <si>
    <t>PLD1</t>
  </si>
  <si>
    <t>PH_hs_0024337</t>
  </si>
  <si>
    <t>CBX3</t>
  </si>
  <si>
    <t>Homo sapiens chromobox homolog 3 (CBX3)</t>
  </si>
  <si>
    <t>PH_hs_0024352</t>
  </si>
  <si>
    <t>CCM2L</t>
  </si>
  <si>
    <t>Homo sapiens cerebral cavernous malformation 2-like (CCM2L)</t>
  </si>
  <si>
    <t>NP_542192.2</t>
  </si>
  <si>
    <t>PH_hs_0024363</t>
  </si>
  <si>
    <t>SOD2</t>
  </si>
  <si>
    <t>NP_000627.2</t>
  </si>
  <si>
    <t>ENST00000535372</t>
  </si>
  <si>
    <t>PH_hs_0024370</t>
  </si>
  <si>
    <t>TRAF5</t>
  </si>
  <si>
    <t>Homo sapiens TNF receptor-associated factor 5 (TRAF5)</t>
  </si>
  <si>
    <t>PH_hs_0024375</t>
  </si>
  <si>
    <t>ANP32E</t>
  </si>
  <si>
    <t>Homo sapiens acidic (leucine-rich)</t>
  </si>
  <si>
    <t>PH_hs_0024378</t>
  </si>
  <si>
    <t>UBE2B</t>
  </si>
  <si>
    <t>Homo sapiens ubiquitin-conjugating enzyme E2B (UBE2B)</t>
  </si>
  <si>
    <t>NP_003328.1</t>
  </si>
  <si>
    <t>PH_hs_0024379</t>
  </si>
  <si>
    <t>WDHD1</t>
  </si>
  <si>
    <t>Homo sapiens WD repeat and HMG-box DNA binding protein 1 (WDHD1)</t>
  </si>
  <si>
    <t>NCOA1</t>
  </si>
  <si>
    <t>Homo sapiens nuclear receptor coactivator 1 (NCOA1)</t>
  </si>
  <si>
    <t>PH_hs_0024383</t>
  </si>
  <si>
    <t>EML4</t>
  </si>
  <si>
    <t>Homo sapiens echinoderm microtubule associated protein like 4 (EML4)</t>
  </si>
  <si>
    <t>ASAP1</t>
  </si>
  <si>
    <t>11-Sep</t>
  </si>
  <si>
    <t>Homo sapiens septin 11 (SEPT11)</t>
  </si>
  <si>
    <t>NP_060713.1</t>
  </si>
  <si>
    <t>PSMG2</t>
  </si>
  <si>
    <t>PH_hs_0024406</t>
  </si>
  <si>
    <t>USP7</t>
  </si>
  <si>
    <t>Homo sapiens ubiquitin specific peptidase 7 (herpes virus-associated)</t>
  </si>
  <si>
    <t>NP_003461.2</t>
  </si>
  <si>
    <t>PH_hs_0024411</t>
  </si>
  <si>
    <t>MIOS</t>
  </si>
  <si>
    <t>NP_061878.3</t>
  </si>
  <si>
    <t>PH_hs_0024423</t>
  </si>
  <si>
    <t>CEP95</t>
  </si>
  <si>
    <t>Homo sapiens centrosomal protein 95kDa (CEP95)</t>
  </si>
  <si>
    <t>NP_612372.1</t>
  </si>
  <si>
    <t>PH_hs_0024431</t>
  </si>
  <si>
    <t>AP1S3</t>
  </si>
  <si>
    <t>NP_001034658.1</t>
  </si>
  <si>
    <t>PH_hs_0024446</t>
  </si>
  <si>
    <t>ESYT2</t>
  </si>
  <si>
    <t>Homo sapiens extended synaptotagmin-like protein 2 (ESYT2)</t>
  </si>
  <si>
    <t>NP_065779.1</t>
  </si>
  <si>
    <t>PH_hs_0024453</t>
  </si>
  <si>
    <t>TSR1</t>
  </si>
  <si>
    <t>NP_060598.3</t>
  </si>
  <si>
    <t>PH_hs_0024465</t>
  </si>
  <si>
    <t>FBXO9</t>
  </si>
  <si>
    <t>Homo sapiens F-box protein 9 (FBXO9)</t>
  </si>
  <si>
    <t>PH_hs_0024468</t>
  </si>
  <si>
    <t>CAPNS1</t>
  </si>
  <si>
    <t>PH_hs_0024479</t>
  </si>
  <si>
    <t>ZCCHC7</t>
  </si>
  <si>
    <t>NP_115602.2</t>
  </si>
  <si>
    <t>PH_hs_0024493</t>
  </si>
  <si>
    <t>ITGAE</t>
  </si>
  <si>
    <t>NP_002199.3</t>
  </si>
  <si>
    <t>C2orf88</t>
  </si>
  <si>
    <t>Homo sapiens chromosome 2 open reading frame 88 (C2orf88)</t>
  </si>
  <si>
    <t>DLG1</t>
  </si>
  <si>
    <t>PH_hs_0024519</t>
  </si>
  <si>
    <t>RABEP1</t>
  </si>
  <si>
    <t>PH_hs_0024522</t>
  </si>
  <si>
    <t>IRS1</t>
  </si>
  <si>
    <t>Homo sapiens insulin receptor substrate 1 (IRS1)</t>
  </si>
  <si>
    <t>NP_005535.1</t>
  </si>
  <si>
    <t>ENSP00000304895</t>
  </si>
  <si>
    <t>PDE4DIP</t>
  </si>
  <si>
    <t>Homo sapiens phosphodiesterase 4D interacting protein (PDE4DIP)</t>
  </si>
  <si>
    <t>PH_hs_0024536</t>
  </si>
  <si>
    <t>COX16|SYNJ2BP-COX16</t>
  </si>
  <si>
    <t>Homo sapiens COX16 cytochrome c oxidase assembly homolog (S. cerevisiae)|Homo sapiens SYNJ2BP-COX16 readthrough (SYNJ2BP-COX16)</t>
  </si>
  <si>
    <t>51241|100529257</t>
  </si>
  <si>
    <t>ENSG00000133983|ENSG00000258644</t>
  </si>
  <si>
    <t>GSTK1</t>
  </si>
  <si>
    <t>Homo sapiens glutathione S-transferase kappa 1 (GSTK1)</t>
  </si>
  <si>
    <t>IL17RE</t>
  </si>
  <si>
    <t>Homo sapiens interleukin 17 receptor E (IL17RE)</t>
  </si>
  <si>
    <t>PH_hs_0024544</t>
  </si>
  <si>
    <t>ID4</t>
  </si>
  <si>
    <t>NP_001537.1</t>
  </si>
  <si>
    <t>FAM135A</t>
  </si>
  <si>
    <t>PH_hs_0024562</t>
  </si>
  <si>
    <t>N4BP2</t>
  </si>
  <si>
    <t>Homo sapiens NEDD4 binding protein 2 (N4BP2)</t>
  </si>
  <si>
    <t>NP_060647.2</t>
  </si>
  <si>
    <t>PH_hs_0024564</t>
  </si>
  <si>
    <t>INTS6</t>
  </si>
  <si>
    <t>Homo sapiens integrator complex subunit 6 (INTS6)</t>
  </si>
  <si>
    <t>PH_hs_0024570</t>
  </si>
  <si>
    <t>ARHGAP12</t>
  </si>
  <si>
    <t>Homo sapiens Rho GTPase activating protein 12 (ARHGAP12)</t>
  </si>
  <si>
    <t>PH_hs_0024573</t>
  </si>
  <si>
    <t>JMY</t>
  </si>
  <si>
    <t>NP_689618.4</t>
  </si>
  <si>
    <t>ENSP00000379441</t>
  </si>
  <si>
    <t>PH_hs_0024576</t>
  </si>
  <si>
    <t>ZNF787</t>
  </si>
  <si>
    <t>Homo sapiens zinc finger protein 787 (ZNF787)</t>
  </si>
  <si>
    <t>NP_001002836.2</t>
  </si>
  <si>
    <t>PH_hs_0024579</t>
  </si>
  <si>
    <t>CHD7</t>
  </si>
  <si>
    <t>Homo sapiens chromodomain helicase DNA binding protein 7 (CHD7)</t>
  </si>
  <si>
    <t>NP_060250.2</t>
  </si>
  <si>
    <t>PH_hs_0024601</t>
  </si>
  <si>
    <t>WDR75</t>
  </si>
  <si>
    <t>Homo sapiens WD repeat domain 75 (WDR75)</t>
  </si>
  <si>
    <t>NP_115544.1</t>
  </si>
  <si>
    <t>PH_hs_0024604</t>
  </si>
  <si>
    <t>RHBDL3</t>
  </si>
  <si>
    <t>NP_612201.1</t>
  </si>
  <si>
    <t>PH_hs_0024612</t>
  </si>
  <si>
    <t>EIF4G3</t>
  </si>
  <si>
    <t>PH_hs_0024620</t>
  </si>
  <si>
    <t>MDGA1</t>
  </si>
  <si>
    <t>Homo sapiens MAM domain containing glycosylphosphatidylinositol anchor 1 (MDGA1)</t>
  </si>
  <si>
    <t>NP_705691.1</t>
  </si>
  <si>
    <t>PH_hs_0024627</t>
  </si>
  <si>
    <t>SS18</t>
  </si>
  <si>
    <t>PH_hs_0024632</t>
  </si>
  <si>
    <t>CDK13</t>
  </si>
  <si>
    <t>Homo sapiens cyclin-dependent kinase 13 (CDK13)</t>
  </si>
  <si>
    <t>PH_hs_0024633</t>
  </si>
  <si>
    <t>UFD1L</t>
  </si>
  <si>
    <t>Homo sapiens ubiquitin fusion degradation 1 like (yeast)</t>
  </si>
  <si>
    <t>HPS1</t>
  </si>
  <si>
    <t>Homo sapiens Hermansky-Pudlak syndrome 1 (HPS1)</t>
  </si>
  <si>
    <t>PH_hs_0024649</t>
  </si>
  <si>
    <t>ATF7</t>
  </si>
  <si>
    <t>Homo sapiens activating transcription factor 7 (ATF7)</t>
  </si>
  <si>
    <t>PH_hs_0024651</t>
  </si>
  <si>
    <t>VWA8</t>
  </si>
  <si>
    <t>Homo sapiens von Willebrand factor A domain containing 8 (VWA8)</t>
  </si>
  <si>
    <t>NP_055873.1</t>
  </si>
  <si>
    <t>PH_hs_0024674</t>
  </si>
  <si>
    <t>WDR26</t>
  </si>
  <si>
    <t>Homo sapiens WD repeat domain 26 (WDR26)</t>
  </si>
  <si>
    <t>LUM</t>
  </si>
  <si>
    <t>Homo sapiens lumican (LUM)</t>
  </si>
  <si>
    <t>NP_002336.1</t>
  </si>
  <si>
    <t>ENSP00000266718</t>
  </si>
  <si>
    <t>PH_hs_0024706</t>
  </si>
  <si>
    <t>KPNA3</t>
  </si>
  <si>
    <t>Homo sapiens karyopherin alpha 3 (importin alpha 4)</t>
  </si>
  <si>
    <t>NP_002258.2</t>
  </si>
  <si>
    <t>PH_hs_0024713</t>
  </si>
  <si>
    <t>COL4A2</t>
  </si>
  <si>
    <t>NP_001837.2</t>
  </si>
  <si>
    <t>PH_hs_0024717</t>
  </si>
  <si>
    <t>ICT1</t>
  </si>
  <si>
    <t>Homo sapiens immature colon carcinoma transcript 1 (ICT1)</t>
  </si>
  <si>
    <t>NP_001536.1</t>
  </si>
  <si>
    <t>PH_hs_0024722</t>
  </si>
  <si>
    <t>FXR1</t>
  </si>
  <si>
    <t>PH_hs_0024729</t>
  </si>
  <si>
    <t>PSD3</t>
  </si>
  <si>
    <t>Homo sapiens pleckstrin and Sec7 domain containing 3 (PSD3)</t>
  </si>
  <si>
    <t>PBX1</t>
  </si>
  <si>
    <t>Homo sapiens pre-B-cell leukemia homeobox 1 (PBX1)</t>
  </si>
  <si>
    <t>PH_hs_0024736</t>
  </si>
  <si>
    <t>TXNDC17</t>
  </si>
  <si>
    <t>Homo sapiens thioredoxin domain containing 17 (TXNDC17)</t>
  </si>
  <si>
    <t>NP_116120.1</t>
  </si>
  <si>
    <t>PH_hs_0024738</t>
  </si>
  <si>
    <t>NUPL2</t>
  </si>
  <si>
    <t>Homo sapiens nucleoporin like 2 (NUPL2)</t>
  </si>
  <si>
    <t>NP_031368.1</t>
  </si>
  <si>
    <t>PH_hs_0024741</t>
  </si>
  <si>
    <t>NDUFS6</t>
  </si>
  <si>
    <t>NP_004544.1</t>
  </si>
  <si>
    <t>PH_hs_0024750</t>
  </si>
  <si>
    <t>MYO1F</t>
  </si>
  <si>
    <t>Homo sapiens myosin IF (MYO1F)</t>
  </si>
  <si>
    <t>NP_036467.2</t>
  </si>
  <si>
    <t>PH_hs_0024751</t>
  </si>
  <si>
    <t>RBM26</t>
  </si>
  <si>
    <t>Homo sapiens RNA binding motif protein 26 (RBM26)</t>
  </si>
  <si>
    <t>NP_071401.3</t>
  </si>
  <si>
    <t>PH_hs_0024783</t>
  </si>
  <si>
    <t>ATP5O</t>
  </si>
  <si>
    <t>NP_001688.1</t>
  </si>
  <si>
    <t>PH_hs_0024786</t>
  </si>
  <si>
    <t>JAG1</t>
  </si>
  <si>
    <t>Homo sapiens jagged 1 (JAG1)</t>
  </si>
  <si>
    <t>NP_000205.1</t>
  </si>
  <si>
    <t>PH_hs_0024806</t>
  </si>
  <si>
    <t>PHPT1</t>
  </si>
  <si>
    <t>Homo sapiens phosphohistidine phosphatase 1 (PHPT1)</t>
  </si>
  <si>
    <t>PH_hs_0024807</t>
  </si>
  <si>
    <t>SNX19</t>
  </si>
  <si>
    <t>Homo sapiens sorting nexin 19 (SNX19)</t>
  </si>
  <si>
    <t>NP_055573.2</t>
  </si>
  <si>
    <t>PH_hs_0024815</t>
  </si>
  <si>
    <t>PNN</t>
  </si>
  <si>
    <t>NP_002678.2</t>
  </si>
  <si>
    <t>PH_hs_0024819</t>
  </si>
  <si>
    <t>CTGF</t>
  </si>
  <si>
    <t>Homo sapiens connective tissue growth factor (CTGF)</t>
  </si>
  <si>
    <t>NP_001892.1</t>
  </si>
  <si>
    <t>ENST00000367976</t>
  </si>
  <si>
    <t>ENSP00000356954</t>
  </si>
  <si>
    <t>PH_hs_0024831</t>
  </si>
  <si>
    <t>SARNP</t>
  </si>
  <si>
    <t>Homo sapiens SAP domain containing ribonucleoprotein (SARNP)</t>
  </si>
  <si>
    <t>PH_hs_0024840</t>
  </si>
  <si>
    <t>UBR5</t>
  </si>
  <si>
    <t>Homo sapiens ubiquitin protein ligase E3 component n-recognin 5 (UBR5)</t>
  </si>
  <si>
    <t>NP_056986.2</t>
  </si>
  <si>
    <t>RPL13</t>
  </si>
  <si>
    <t>Homo sapiens ribosomal protein L13 (RPL13)</t>
  </si>
  <si>
    <t>PH_hs_0024849</t>
  </si>
  <si>
    <t>SMAP1</t>
  </si>
  <si>
    <t>Homo sapiens small ArfGAP 1 (SMAP1)</t>
  </si>
  <si>
    <t>PH_hs_0024852</t>
  </si>
  <si>
    <t>ANO6</t>
  </si>
  <si>
    <t>Homo sapiens anoctamin 6 (ANO6)</t>
  </si>
  <si>
    <t>MRPS12</t>
  </si>
  <si>
    <t>Homo sapiens mitochondrial ribosomal protein S12 (MRPS12)</t>
  </si>
  <si>
    <t>PH_hs_0024864</t>
  </si>
  <si>
    <t>WBP4</t>
  </si>
  <si>
    <t>Homo sapiens WW domain binding protein 4 (WBP4)</t>
  </si>
  <si>
    <t>NP_009118.1</t>
  </si>
  <si>
    <t>ENST00000379487</t>
  </si>
  <si>
    <t>ENSP00000368801</t>
  </si>
  <si>
    <t>MPHOSPH8</t>
  </si>
  <si>
    <t>Homo sapiens M-phase phosphoprotein 8 (MPHOSPH8)</t>
  </si>
  <si>
    <t>NP_059990.2</t>
  </si>
  <si>
    <t>PH_hs_0024886</t>
  </si>
  <si>
    <t>SKAP1</t>
  </si>
  <si>
    <t>Homo sapiens src kinase associated phosphoprotein 1 (SKAP1)</t>
  </si>
  <si>
    <t>MBTPS2</t>
  </si>
  <si>
    <t>NP_056968.1</t>
  </si>
  <si>
    <t>PH_hs_0024898</t>
  </si>
  <si>
    <t>CORT|APITD1-CORT</t>
  </si>
  <si>
    <t>Homo sapiens cortistatin (CORT)|Homo sapiens APITD1-CORT readthrough (APITD1-CORT)</t>
  </si>
  <si>
    <t>1325|100526739</t>
  </si>
  <si>
    <t>ENSG00000241563|ENSG00000251503</t>
  </si>
  <si>
    <t>PH_hs_0024902</t>
  </si>
  <si>
    <t>AIP</t>
  </si>
  <si>
    <t>Homo sapiens aryl hydrocarbon receptor interacting protein (AIP)</t>
  </si>
  <si>
    <t>NP_003968.3</t>
  </si>
  <si>
    <t>NFX1</t>
  </si>
  <si>
    <t>PH_hs_0024930</t>
  </si>
  <si>
    <t>F8</t>
  </si>
  <si>
    <t>PH_hs_0024933</t>
  </si>
  <si>
    <t>ARHGEF12</t>
  </si>
  <si>
    <t>PH_hs_0024940</t>
  </si>
  <si>
    <t>RGS16</t>
  </si>
  <si>
    <t>Homo sapiens regulator of G-protein signaling 16 (RGS16)</t>
  </si>
  <si>
    <t>NP_002919.3</t>
  </si>
  <si>
    <t>ENST00000367558</t>
  </si>
  <si>
    <t>ENSP00000356529</t>
  </si>
  <si>
    <t>PH_hs_0024953</t>
  </si>
  <si>
    <t>ASPH</t>
  </si>
  <si>
    <t>Homo sapiens aspartate beta-hydroxylase (ASPH)</t>
  </si>
  <si>
    <t>PH_hs_0024966</t>
  </si>
  <si>
    <t>CNPY3</t>
  </si>
  <si>
    <t>Homo sapiens canopy FGF signaling regulator 3 (CNPY3)</t>
  </si>
  <si>
    <t>NP_006577.2</t>
  </si>
  <si>
    <t>SYNGR1</t>
  </si>
  <si>
    <t>Homo sapiens synaptogyrin 1 (SYNGR1)</t>
  </si>
  <si>
    <t>PH_hs_0024980</t>
  </si>
  <si>
    <t>RAB18</t>
  </si>
  <si>
    <t>PH_hs_0024983</t>
  </si>
  <si>
    <t>NEK1</t>
  </si>
  <si>
    <t>Homo sapiens NIMA-related kinase 1 (NEK1)</t>
  </si>
  <si>
    <t>ENSP00000222753</t>
  </si>
  <si>
    <t>PH_hs_0024986</t>
  </si>
  <si>
    <t>DBP</t>
  </si>
  <si>
    <t>Homo sapiens D site of albumin promoter (albumin D-box)</t>
  </si>
  <si>
    <t>NP_001343.2</t>
  </si>
  <si>
    <t>PH_hs_0025001</t>
  </si>
  <si>
    <t>MEF2A</t>
  </si>
  <si>
    <t>Homo sapiens myocyte enhancer factor 2A (MEF2A)</t>
  </si>
  <si>
    <t>PH_hs_0025004</t>
  </si>
  <si>
    <t>HSD17B8</t>
  </si>
  <si>
    <t>NP_055049.1</t>
  </si>
  <si>
    <t>ENSP00000406488</t>
  </si>
  <si>
    <t>CHMP5</t>
  </si>
  <si>
    <t>Homo sapiens charged multivesicular body protein 5 (CHMP5)</t>
  </si>
  <si>
    <t>PH_hs_0025022</t>
  </si>
  <si>
    <t>PRKDC</t>
  </si>
  <si>
    <t>PH_hs_0025028</t>
  </si>
  <si>
    <t>PSKH1</t>
  </si>
  <si>
    <t>Homo sapiens protein serine kinase H1 (PSKH1)</t>
  </si>
  <si>
    <t>NP_006733.1</t>
  </si>
  <si>
    <t>ARFIP1</t>
  </si>
  <si>
    <t>Homo sapiens ADP-ribosylation factor interacting protein 1 (ARFIP1)</t>
  </si>
  <si>
    <t>PH_hs_0025043</t>
  </si>
  <si>
    <t>CDK12</t>
  </si>
  <si>
    <t>Homo sapiens cyclin-dependent kinase 12 (CDK12)</t>
  </si>
  <si>
    <t>PH_hs_0025060</t>
  </si>
  <si>
    <t>PPM1B</t>
  </si>
  <si>
    <t>NP_808907.1</t>
  </si>
  <si>
    <t>PH_hs_0025068</t>
  </si>
  <si>
    <t>ELP5</t>
  </si>
  <si>
    <t>Homo sapiens elongator acetyltransferase complex subunit 5 (ELP5)</t>
  </si>
  <si>
    <t>PH_hs_0025071</t>
  </si>
  <si>
    <t>UGP2</t>
  </si>
  <si>
    <t>Homo sapiens UDP-glucose pyrophosphorylase 2 (UGP2)</t>
  </si>
  <si>
    <t>VPS39</t>
  </si>
  <si>
    <t>Homo sapiens vacuolar protein sorting 39 homolog (S. cerevisiae)</t>
  </si>
  <si>
    <t>NP_056104.2</t>
  </si>
  <si>
    <t>PH_hs_0025075</t>
  </si>
  <si>
    <t>PLA2G16</t>
  </si>
  <si>
    <t>NP_009000.2</t>
  </si>
  <si>
    <t>PH_hs_0025088</t>
  </si>
  <si>
    <t>FN1</t>
  </si>
  <si>
    <t>Homo sapiens fibronectin 1 (FN1)</t>
  </si>
  <si>
    <t>ATP8B1</t>
  </si>
  <si>
    <t>NP_005594.1</t>
  </si>
  <si>
    <t>MFSD6</t>
  </si>
  <si>
    <t>Homo sapiens major facilitator superfamily domain containing 6 (MFSD6)</t>
  </si>
  <si>
    <t>NP_060164.3</t>
  </si>
  <si>
    <t>ATP5D</t>
  </si>
  <si>
    <t>PH_hs_0025101</t>
  </si>
  <si>
    <t>NUPR1</t>
  </si>
  <si>
    <t>MET</t>
  </si>
  <si>
    <t>PH_hs_0025111</t>
  </si>
  <si>
    <t>SLC2A3</t>
  </si>
  <si>
    <t>NP_008862.1</t>
  </si>
  <si>
    <t>PH_hs_0025112</t>
  </si>
  <si>
    <t>REC8</t>
  </si>
  <si>
    <t>Homo sapiens REC8 meiotic recombination protein (REC8)</t>
  </si>
  <si>
    <t>PH_hs_0025114</t>
  </si>
  <si>
    <t>PARK7</t>
  </si>
  <si>
    <t>Homo sapiens parkinson protein 7 (PARK7)</t>
  </si>
  <si>
    <t>PH_hs_0025120</t>
  </si>
  <si>
    <t>TMEM68</t>
  </si>
  <si>
    <t>Homo sapiens transmembrane protein 68 (TMEM68)</t>
  </si>
  <si>
    <t>NP_689630.1</t>
  </si>
  <si>
    <t>PH_hs_0025128</t>
  </si>
  <si>
    <t>ABHD14A</t>
  </si>
  <si>
    <t>Homo sapiens abhydrolase domain containing 14A (ABHD14A)</t>
  </si>
  <si>
    <t>NP_056222.2</t>
  </si>
  <si>
    <t>PH_hs_0025130</t>
  </si>
  <si>
    <t>FBXO30</t>
  </si>
  <si>
    <t>Homo sapiens F-box protein 30 (FBXO30)</t>
  </si>
  <si>
    <t>NP_115521.3</t>
  </si>
  <si>
    <t>ENST00000237281</t>
  </si>
  <si>
    <t>ENSP00000237281</t>
  </si>
  <si>
    <t>PH_hs_0025133</t>
  </si>
  <si>
    <t>METTL16</t>
  </si>
  <si>
    <t>Homo sapiens methyltransferase like 16 (METTL16)</t>
  </si>
  <si>
    <t>NP_076991.3</t>
  </si>
  <si>
    <t>LAMTOR1</t>
  </si>
  <si>
    <t>NP_060377.1</t>
  </si>
  <si>
    <t>PH_hs_0025144</t>
  </si>
  <si>
    <t>TGFBI</t>
  </si>
  <si>
    <t>NP_000349.1</t>
  </si>
  <si>
    <t>PH_hs_0025145</t>
  </si>
  <si>
    <t>MAGOH</t>
  </si>
  <si>
    <t>NP_002361.1</t>
  </si>
  <si>
    <t>TIGIT</t>
  </si>
  <si>
    <t>Homo sapiens T cell immunoreceptor with Ig and ITIM domains (TIGIT)</t>
  </si>
  <si>
    <t>NP_776160.2</t>
  </si>
  <si>
    <t>SEC22A</t>
  </si>
  <si>
    <t>Homo sapiens SEC22 vesicle trafficking protein homolog A (S. cerevisiae)</t>
  </si>
  <si>
    <t>NP_036562.2</t>
  </si>
  <si>
    <t>MRPL43</t>
  </si>
  <si>
    <t>Homo sapiens mitochondrial ribosomal protein L43 (MRPL43)</t>
  </si>
  <si>
    <t>CEP120</t>
  </si>
  <si>
    <t>Homo sapiens centrosomal protein 120kDa (CEP120)</t>
  </si>
  <si>
    <t>PH_hs_0025165</t>
  </si>
  <si>
    <t>COX7A2L</t>
  </si>
  <si>
    <t>Homo sapiens cytochrome c oxidase subunit VIIa polypeptide 2 like (COX7A2L)</t>
  </si>
  <si>
    <t>NP_004709.2</t>
  </si>
  <si>
    <t>PH_hs_0025174</t>
  </si>
  <si>
    <t>COMMD1</t>
  </si>
  <si>
    <t>Homo sapiens copper metabolism (Murr1)</t>
  </si>
  <si>
    <t>NP_689729.1</t>
  </si>
  <si>
    <t>PH_hs_0025187</t>
  </si>
  <si>
    <t>ZNF264</t>
  </si>
  <si>
    <t>Homo sapiens zinc finger protein 264 (ZNF264)</t>
  </si>
  <si>
    <t>NP_003408.1</t>
  </si>
  <si>
    <t>PH_hs_0025194</t>
  </si>
  <si>
    <t>C10orf12</t>
  </si>
  <si>
    <t>Homo sapiens chromosome 10 open reading frame 12 (C10orf12)</t>
  </si>
  <si>
    <t>NP_056467.2</t>
  </si>
  <si>
    <t>ENST00000286067</t>
  </si>
  <si>
    <t>ENSP00000286067</t>
  </si>
  <si>
    <t>PH_hs_0025224</t>
  </si>
  <si>
    <t>SPG11</t>
  </si>
  <si>
    <t>Homo sapiens spastic paraplegia 11 (autosomal recessive)</t>
  </si>
  <si>
    <t>PH_hs_0025236</t>
  </si>
  <si>
    <t>TPP2</t>
  </si>
  <si>
    <t>Homo sapiens tripeptidyl peptidase II (TPP2)</t>
  </si>
  <si>
    <t>NP_003282.2</t>
  </si>
  <si>
    <t>PH_hs_0025239</t>
  </si>
  <si>
    <t>MAP3K8</t>
  </si>
  <si>
    <t>Homo sapiens mitogen-activated protein kinase kinase kinase 8 (MAP3K8)</t>
  </si>
  <si>
    <t>PH_hs_0025240</t>
  </si>
  <si>
    <t>TBK1</t>
  </si>
  <si>
    <t>Homo sapiens TANK-binding kinase 1 (TBK1)</t>
  </si>
  <si>
    <t>NP_037386.1</t>
  </si>
  <si>
    <t>GOSR2</t>
  </si>
  <si>
    <t>Homo sapiens golgi SNAP receptor complex member 2 (GOSR2)</t>
  </si>
  <si>
    <t>PH_hs_0025246</t>
  </si>
  <si>
    <t>GPR22</t>
  </si>
  <si>
    <t>Homo sapiens G protein-coupled receptor 22 (GPR22)</t>
  </si>
  <si>
    <t>NP_005286.2</t>
  </si>
  <si>
    <t>ENSP00000302676</t>
  </si>
  <si>
    <t>SLC7A2</t>
  </si>
  <si>
    <t>PH_hs_0025281</t>
  </si>
  <si>
    <t>KIFAP3</t>
  </si>
  <si>
    <t>Homo sapiens kinesin-associated protein 3 (KIFAP3)</t>
  </si>
  <si>
    <t>PH_hs_0025284</t>
  </si>
  <si>
    <t>ZNF667</t>
  </si>
  <si>
    <t>Homo sapiens zinc finger protein 667 (ZNF667)</t>
  </si>
  <si>
    <t>PH_hs_0025288</t>
  </si>
  <si>
    <t>TMEM50B</t>
  </si>
  <si>
    <t>Homo sapiens transmembrane protein 50B (TMEM50B)</t>
  </si>
  <si>
    <t>PH_hs_0025289</t>
  </si>
  <si>
    <t>MFN1</t>
  </si>
  <si>
    <t>Homo sapiens mitofusin 1 (MFN1)</t>
  </si>
  <si>
    <t>NP_284941.2</t>
  </si>
  <si>
    <t>PH_hs_0025294</t>
  </si>
  <si>
    <t>EEF1A2</t>
  </si>
  <si>
    <t>Homo sapiens eukaryotic translation elongation factor 1 alpha 2 (EEF1A2)</t>
  </si>
  <si>
    <t>NP_001949.1</t>
  </si>
  <si>
    <t>PH_hs_0025295</t>
  </si>
  <si>
    <t>KRT13</t>
  </si>
  <si>
    <t>PH_hs_0025299</t>
  </si>
  <si>
    <t>GPX4</t>
  </si>
  <si>
    <t>Homo sapiens glutathione peroxidase 4 (GPX4)</t>
  </si>
  <si>
    <t>PH_hs_0025321</t>
  </si>
  <si>
    <t>PTK2</t>
  </si>
  <si>
    <t>Homo sapiens protein tyrosine kinase 2 (PTK2)</t>
  </si>
  <si>
    <t>RNF157</t>
  </si>
  <si>
    <t>Homo sapiens ring finger protein 157 (RNF157)</t>
  </si>
  <si>
    <t>NP_443148.1</t>
  </si>
  <si>
    <t>PH_hs_0025342</t>
  </si>
  <si>
    <t>TAPT1</t>
  </si>
  <si>
    <t>Homo sapiens transmembrane anterior posterior transformation 1 (TAPT1)</t>
  </si>
  <si>
    <t>NP_699196.2</t>
  </si>
  <si>
    <t>PH_hs_0025351</t>
  </si>
  <si>
    <t>RAPGEF6</t>
  </si>
  <si>
    <t>PH_hs_0025352</t>
  </si>
  <si>
    <t>FANCG</t>
  </si>
  <si>
    <t>NP_004620.1</t>
  </si>
  <si>
    <t>PH_hs_0025361</t>
  </si>
  <si>
    <t>PPIB</t>
  </si>
  <si>
    <t>Homo sapiens peptidylprolyl isomerase B (cyclophilin B)</t>
  </si>
  <si>
    <t>NP_000933.1</t>
  </si>
  <si>
    <t>ENSP00000300026</t>
  </si>
  <si>
    <t>PH_hs_0025364</t>
  </si>
  <si>
    <t>DDHD2</t>
  </si>
  <si>
    <t>Homo sapiens DDHD domain containing 2 (DDHD2)</t>
  </si>
  <si>
    <t>PH_hs_0025393</t>
  </si>
  <si>
    <t>MED13L</t>
  </si>
  <si>
    <t>Homo sapiens mediator complex subunit 13-like (MED13L)</t>
  </si>
  <si>
    <t>NP_056150.1</t>
  </si>
  <si>
    <t>PH_hs_0025401</t>
  </si>
  <si>
    <t>SPATA33</t>
  </si>
  <si>
    <t>Homo sapiens spermatogenesis associated 33 (SPATA33)</t>
  </si>
  <si>
    <t>PH_hs_0025405</t>
  </si>
  <si>
    <t>C1orf56</t>
  </si>
  <si>
    <t>Homo sapiens chromosome 1 open reading frame 56 (C1orf56)</t>
  </si>
  <si>
    <t>NP_060330.2</t>
  </si>
  <si>
    <t>ENSP00000357922</t>
  </si>
  <si>
    <t>GLIS2</t>
  </si>
  <si>
    <t>Homo sapiens GLIS family zinc finger 2 (GLIS2)</t>
  </si>
  <si>
    <t>NP_115964.2</t>
  </si>
  <si>
    <t>PH_hs_0025431</t>
  </si>
  <si>
    <t>TRIM2</t>
  </si>
  <si>
    <t>Homo sapiens tripartite motif containing 2 (TRIM2)</t>
  </si>
  <si>
    <t>PH_hs_0025446</t>
  </si>
  <si>
    <t>GLCCI1</t>
  </si>
  <si>
    <t>Homo sapiens glucocorticoid induced 1 (GLCCI1)</t>
  </si>
  <si>
    <t>NP_612435.1</t>
  </si>
  <si>
    <t>PH_hs_0025455</t>
  </si>
  <si>
    <t>MGA</t>
  </si>
  <si>
    <t>PH_hs_0025459</t>
  </si>
  <si>
    <t>ERCC1</t>
  </si>
  <si>
    <t>Homo sapiens excision repair cross-complementation group 1 (ERCC1)</t>
  </si>
  <si>
    <t>NP_973730.1</t>
  </si>
  <si>
    <t>PH_hs_0025460</t>
  </si>
  <si>
    <t>AP1AR</t>
  </si>
  <si>
    <t>Homo sapiens adaptor-related protein complex 1 associated regulatory protein (AP1AR)</t>
  </si>
  <si>
    <t>PH_hs_0025465</t>
  </si>
  <si>
    <t>DIO2</t>
  </si>
  <si>
    <t>DENND5B</t>
  </si>
  <si>
    <t>Homo sapiens DENN/MADD domain containing 5B (DENND5B)</t>
  </si>
  <si>
    <t>NP_659410.3</t>
  </si>
  <si>
    <t>PH_hs_0025493</t>
  </si>
  <si>
    <t>BEND7</t>
  </si>
  <si>
    <t>Homo sapiens BEN domain containing 7 (BEND7)</t>
  </si>
  <si>
    <t>NP_689964.2</t>
  </si>
  <si>
    <t>PH_hs_0025496</t>
  </si>
  <si>
    <t>SNX14</t>
  </si>
  <si>
    <t>Homo sapiens sorting nexin 14 (SNX14)</t>
  </si>
  <si>
    <t>PH_hs_0025497</t>
  </si>
  <si>
    <t>RND2</t>
  </si>
  <si>
    <t>Homo sapiens Rho family GTPase 2 (RND2)</t>
  </si>
  <si>
    <t>NP_005431.1</t>
  </si>
  <si>
    <t>ENSP00000466680</t>
  </si>
  <si>
    <t>PH_hs_0025508</t>
  </si>
  <si>
    <t>INADL</t>
  </si>
  <si>
    <t>Homo sapiens InaD-like (Drosophila)</t>
  </si>
  <si>
    <t>NP_795352.2</t>
  </si>
  <si>
    <t>PH_hs_0025519</t>
  </si>
  <si>
    <t>ANAPC4</t>
  </si>
  <si>
    <t>Homo sapiens anaphase promoting complex subunit 4 (ANAPC4)</t>
  </si>
  <si>
    <t>NP_037499.2</t>
  </si>
  <si>
    <t>LMAN1</t>
  </si>
  <si>
    <t>NP_005561.1</t>
  </si>
  <si>
    <t>ENSP00000251047</t>
  </si>
  <si>
    <t>PVRL3</t>
  </si>
  <si>
    <t>Homo sapiens poliovirus receptor-related 3 (PVRL3)</t>
  </si>
  <si>
    <t>PH_hs_0025527</t>
  </si>
  <si>
    <t>NFAM1</t>
  </si>
  <si>
    <t>Homo sapiens NFAT activating protein with ITAM motif 1 (NFAM1)</t>
  </si>
  <si>
    <t>NP_666017.1</t>
  </si>
  <si>
    <t>TRIM13</t>
  </si>
  <si>
    <t>Homo sapiens tripartite motif containing 13 (TRIM13)</t>
  </si>
  <si>
    <t>PH_hs_0025547</t>
  </si>
  <si>
    <t>PH_hs_0025548</t>
  </si>
  <si>
    <t>CLASP1</t>
  </si>
  <si>
    <t>Homo sapiens cytoplasmic linker associated protein 1 (CLASP1)</t>
  </si>
  <si>
    <t>SOCS3</t>
  </si>
  <si>
    <t>Homo sapiens suppressor of cytokine signaling 3 (SOCS3)</t>
  </si>
  <si>
    <t>NP_003946.3</t>
  </si>
  <si>
    <t>PH_hs_0025551</t>
  </si>
  <si>
    <t>SPRY1</t>
  </si>
  <si>
    <t>PTPN21</t>
  </si>
  <si>
    <t>NP_008970.2</t>
  </si>
  <si>
    <t>PPAPDC1B</t>
  </si>
  <si>
    <t>Homo sapiens phosphatidic acid phosphatase type 2 domain containing 1B (PPAPDC1B)</t>
  </si>
  <si>
    <t>PH_hs_0025588</t>
  </si>
  <si>
    <t>ATP10D</t>
  </si>
  <si>
    <t>NP_065186.3</t>
  </si>
  <si>
    <t>PH_hs_0025594</t>
  </si>
  <si>
    <t>CIRBP</t>
  </si>
  <si>
    <t>Homo sapiens cold inducible RNA binding protein (CIRBP)</t>
  </si>
  <si>
    <t>NP_001271.1</t>
  </si>
  <si>
    <t>LAMA4</t>
  </si>
  <si>
    <t>PH_hs_0025626</t>
  </si>
  <si>
    <t>MARK3</t>
  </si>
  <si>
    <t>Homo sapiens MAP/microtubule affinity-regulating kinase 3 (MARK3)</t>
  </si>
  <si>
    <t>PH_hs_0025638</t>
  </si>
  <si>
    <t>TMEM258</t>
  </si>
  <si>
    <t>Homo sapiens transmembrane protein 258 (TMEM258)</t>
  </si>
  <si>
    <t>NP_055021.1</t>
  </si>
  <si>
    <t>SUN1</t>
  </si>
  <si>
    <t>Homo sapiens Sad1 and UNC84 domain containing 1 (SUN1)</t>
  </si>
  <si>
    <t>PH_hs_0025656</t>
  </si>
  <si>
    <t>TCF12</t>
  </si>
  <si>
    <t>Homo sapiens transcription factor 12 (TCF12)</t>
  </si>
  <si>
    <t>EFCAB2</t>
  </si>
  <si>
    <t>Homo sapiens EF-hand calcium binding domain 2 (EFCAB2)</t>
  </si>
  <si>
    <t>PH_hs_0025672</t>
  </si>
  <si>
    <t>WDR19</t>
  </si>
  <si>
    <t>Homo sapiens WD repeat domain 19 (WDR19)</t>
  </si>
  <si>
    <t>NP_079408.3</t>
  </si>
  <si>
    <t>PH_hs_0025673</t>
  </si>
  <si>
    <t>POLI</t>
  </si>
  <si>
    <t>NP_009126.2</t>
  </si>
  <si>
    <t>PH_hs_0025678</t>
  </si>
  <si>
    <t>GNL3L</t>
  </si>
  <si>
    <t>Homo sapiens guanine nucleotide binding protein-like 3 (nucleolar)</t>
  </si>
  <si>
    <t>PH_hs_0025712</t>
  </si>
  <si>
    <t>SMURF2</t>
  </si>
  <si>
    <t>Homo sapiens SMAD specific E3 ubiquitin protein ligase 2 (SMURF2)</t>
  </si>
  <si>
    <t>NP_073576.1</t>
  </si>
  <si>
    <t>PH_hs_0025713</t>
  </si>
  <si>
    <t>TBL1XR1</t>
  </si>
  <si>
    <t>NP_078941.2</t>
  </si>
  <si>
    <t>PH_hs_0025715</t>
  </si>
  <si>
    <t>CUX1</t>
  </si>
  <si>
    <t>Homo sapiens cut-like homeobox 1 (CUX1)</t>
  </si>
  <si>
    <t>PH_hs_0025719</t>
  </si>
  <si>
    <t>RNF219</t>
  </si>
  <si>
    <t>Homo sapiens ring finger protein 219 (RNF219)</t>
  </si>
  <si>
    <t>NP_078822.3</t>
  </si>
  <si>
    <t>ENST00000282003</t>
  </si>
  <si>
    <t>ENSP00000282003</t>
  </si>
  <si>
    <t>PH_hs_0025724</t>
  </si>
  <si>
    <t>SPIN1</t>
  </si>
  <si>
    <t>Homo sapiens spindlin 1 (SPIN1)</t>
  </si>
  <si>
    <t>NP_006708.2</t>
  </si>
  <si>
    <t>ENSP00000365019</t>
  </si>
  <si>
    <t>PH_hs_0025734</t>
  </si>
  <si>
    <t>FRMD6</t>
  </si>
  <si>
    <t>Homo sapiens FERM domain containing 6 (FRMD6)</t>
  </si>
  <si>
    <t>PH_hs_0025738</t>
  </si>
  <si>
    <t>TMPRSS2</t>
  </si>
  <si>
    <t>PH_hs_0025754</t>
  </si>
  <si>
    <t>DYRK4</t>
  </si>
  <si>
    <t>NP_003836.1</t>
  </si>
  <si>
    <t>FAM96A</t>
  </si>
  <si>
    <t>PH_hs_0025766</t>
  </si>
  <si>
    <t>TOX</t>
  </si>
  <si>
    <t>Homo sapiens thymocyte selection-associated high mobility group box (TOX)</t>
  </si>
  <si>
    <t>NP_055544.1</t>
  </si>
  <si>
    <t>ENST00000361421</t>
  </si>
  <si>
    <t>ENSP00000354842</t>
  </si>
  <si>
    <t>PH_hs_0025782</t>
  </si>
  <si>
    <t>EPB41L2</t>
  </si>
  <si>
    <t>Homo sapiens erythrocyte membrane protein band 4.1-like 2 (EPB41L2)</t>
  </si>
  <si>
    <t>PH_hs_0025783</t>
  </si>
  <si>
    <t>MSH2</t>
  </si>
  <si>
    <t>Homo sapiens mutS homolog 2 (MSH2)</t>
  </si>
  <si>
    <t>KCNAB2</t>
  </si>
  <si>
    <t>PH_hs_0025793</t>
  </si>
  <si>
    <t>TMX3</t>
  </si>
  <si>
    <t>Homo sapiens thioredoxin-related transmembrane protein 3 (TMX3)</t>
  </si>
  <si>
    <t>NP_061895.3</t>
  </si>
  <si>
    <t>PH_hs_0025814</t>
  </si>
  <si>
    <t>DDR2</t>
  </si>
  <si>
    <t>Homo sapiens discoidin domain receptor tyrosine kinase 2 (DDR2)</t>
  </si>
  <si>
    <t>PH_hs_0025820</t>
  </si>
  <si>
    <t>CAST</t>
  </si>
  <si>
    <t>Homo sapiens calpastatin (CAST)</t>
  </si>
  <si>
    <t>PH_hs_0025824</t>
  </si>
  <si>
    <t>USP47</t>
  </si>
  <si>
    <t>Homo sapiens ubiquitin specific peptidase 47 (USP47)</t>
  </si>
  <si>
    <t>NP_060414.3</t>
  </si>
  <si>
    <t>PH_hs_0025845</t>
  </si>
  <si>
    <t>OXNAD1</t>
  </si>
  <si>
    <t>Homo sapiens oxidoreductase NAD-binding domain containing 1 (OXNAD1)</t>
  </si>
  <si>
    <t>NP_612390.1</t>
  </si>
  <si>
    <t>ABCC6</t>
  </si>
  <si>
    <t>NP_001162.4</t>
  </si>
  <si>
    <t>ENST00000600761</t>
  </si>
  <si>
    <t>ENSP00000481979</t>
  </si>
  <si>
    <t>PH_hs_0025861</t>
  </si>
  <si>
    <t>AURKB</t>
  </si>
  <si>
    <t>Homo sapiens aurora kinase B (AURKB)</t>
  </si>
  <si>
    <t>PH_hs_0025875</t>
  </si>
  <si>
    <t>PCDH7</t>
  </si>
  <si>
    <t>Homo sapiens protocadherin 7 (PCDH7)</t>
  </si>
  <si>
    <t>PH_hs_0025886</t>
  </si>
  <si>
    <t>ENY2</t>
  </si>
  <si>
    <t>Homo sapiens enhancer of yellow 2 homolog (Drosophila)</t>
  </si>
  <si>
    <t>TXNRD2</t>
  </si>
  <si>
    <t>Homo sapiens thioredoxin reductase 2 (TXNRD2)</t>
  </si>
  <si>
    <t>NP_006431.2</t>
  </si>
  <si>
    <t>PH_hs_0025903</t>
  </si>
  <si>
    <t>CYB5B</t>
  </si>
  <si>
    <t>Homo sapiens cytochrome b5 type B (outer mitochondrial membrane)</t>
  </si>
  <si>
    <t>NP_085056.2</t>
  </si>
  <si>
    <t>UBIAD1</t>
  </si>
  <si>
    <t>Homo sapiens UbiA prenyltransferase domain containing 1 (UBIAD1)</t>
  </si>
  <si>
    <t>NP_037451.1</t>
  </si>
  <si>
    <t>PH_hs_0025920</t>
  </si>
  <si>
    <t>PI4K2B</t>
  </si>
  <si>
    <t>Homo sapiens phosphatidylinositol 4-kinase type 2 beta (PI4K2B)</t>
  </si>
  <si>
    <t>NP_060793.2</t>
  </si>
  <si>
    <t>ENST00000264864</t>
  </si>
  <si>
    <t>ENSP00000264864</t>
  </si>
  <si>
    <t>PH_hs_0025922</t>
  </si>
  <si>
    <t>PCSK7</t>
  </si>
  <si>
    <t>Homo sapiens proprotein convertase subtilisin/kexin type 7 (PCSK7)</t>
  </si>
  <si>
    <t>NP_004707.2</t>
  </si>
  <si>
    <t>PH_hs_0025923</t>
  </si>
  <si>
    <t>CDC5L</t>
  </si>
  <si>
    <t>Homo sapiens cell division cycle 5-like (CDC5L)</t>
  </si>
  <si>
    <t>NP_001244.1</t>
  </si>
  <si>
    <t>ENST00000371477</t>
  </si>
  <si>
    <t>ENSP00000360532</t>
  </si>
  <si>
    <t>PH_hs_0025924</t>
  </si>
  <si>
    <t>MYLIP</t>
  </si>
  <si>
    <t>Homo sapiens myosin regulatory light chain interacting protein (MYLIP)</t>
  </si>
  <si>
    <t>NP_037394.2</t>
  </si>
  <si>
    <t>PH_hs_0025925</t>
  </si>
  <si>
    <t>CALD1</t>
  </si>
  <si>
    <t>Homo sapiens caldesmon 1 (CALD1)</t>
  </si>
  <si>
    <t>PH_hs_0025930</t>
  </si>
  <si>
    <t>KIAA0020</t>
  </si>
  <si>
    <t>Homo sapiens KIAA0020 (KIAA0020)</t>
  </si>
  <si>
    <t>NP_055693.4</t>
  </si>
  <si>
    <t>PH_hs_0025941</t>
  </si>
  <si>
    <t>EZH2</t>
  </si>
  <si>
    <t>Homo sapiens enhancer of zeste homolog 2 (Drosophila)</t>
  </si>
  <si>
    <t>PH_hs_0025956</t>
  </si>
  <si>
    <t>PTPRC</t>
  </si>
  <si>
    <t>FBXW2</t>
  </si>
  <si>
    <t>Homo sapiens F-box and WD repeat domain containing 2 (FBXW2)</t>
  </si>
  <si>
    <t>NP_036296.2</t>
  </si>
  <si>
    <t>PH_hs_0025971</t>
  </si>
  <si>
    <t>PHB2</t>
  </si>
  <si>
    <t>Homo sapiens prohibitin 2 (PHB2)</t>
  </si>
  <si>
    <t>LAGE3</t>
  </si>
  <si>
    <t>NP_006005.2</t>
  </si>
  <si>
    <t>PH_hs_0025987</t>
  </si>
  <si>
    <t>KIF1B</t>
  </si>
  <si>
    <t>Homo sapiens kinesin family member 1B (KIF1B)</t>
  </si>
  <si>
    <t>LTB4R</t>
  </si>
  <si>
    <t>Homo sapiens leukotriene B4 receptor (LTB4R)</t>
  </si>
  <si>
    <t>PH_hs_0026024</t>
  </si>
  <si>
    <t>LAMA2</t>
  </si>
  <si>
    <t>PH_hs_0026040</t>
  </si>
  <si>
    <t>VPS29</t>
  </si>
  <si>
    <t>Homo sapiens vacuolar protein sorting 29 homolog (S. cerevisiae)</t>
  </si>
  <si>
    <t>IPO9</t>
  </si>
  <si>
    <t>Homo sapiens importin 9 (IPO9)</t>
  </si>
  <si>
    <t>NP_060555.2</t>
  </si>
  <si>
    <t>PH_hs_0026059</t>
  </si>
  <si>
    <t>SERTAD4</t>
  </si>
  <si>
    <t>Homo sapiens SERTA domain containing 4 (SERTAD4)</t>
  </si>
  <si>
    <t>NP_062551.1</t>
  </si>
  <si>
    <t>ENSP00000355979</t>
  </si>
  <si>
    <t>CARD8</t>
  </si>
  <si>
    <t>PH_hs_0026080</t>
  </si>
  <si>
    <t>TOPORS</t>
  </si>
  <si>
    <t>PH_hs_0026083</t>
  </si>
  <si>
    <t>PSMG3</t>
  </si>
  <si>
    <t>PH_hs_0026085</t>
  </si>
  <si>
    <t>SOAT1</t>
  </si>
  <si>
    <t>Homo sapiens sterol O-acyltransferase 1 (SOAT1)</t>
  </si>
  <si>
    <t>PH_hs_0026086</t>
  </si>
  <si>
    <t>TGFBRAP1</t>
  </si>
  <si>
    <t>PH_hs_0026089</t>
  </si>
  <si>
    <t>APC2</t>
  </si>
  <si>
    <t>Homo sapiens adenomatosis polyposis coli 2 (APC2)</t>
  </si>
  <si>
    <t>NP_005874.1</t>
  </si>
  <si>
    <t>PH_hs_0026091</t>
  </si>
  <si>
    <t>NUDT21</t>
  </si>
  <si>
    <t>NP_008937.1</t>
  </si>
  <si>
    <t>PH_hs_0026104</t>
  </si>
  <si>
    <t>FAM120A</t>
  </si>
  <si>
    <t>Homo sapiens family with sequence similarity 120A (FAM120A)</t>
  </si>
  <si>
    <t>NP_055427.2</t>
  </si>
  <si>
    <t>APOA1BP</t>
  </si>
  <si>
    <t>Homo sapiens apolipoprotein A-I binding protein (APOA1BP)</t>
  </si>
  <si>
    <t>NP_658985.2</t>
  </si>
  <si>
    <t>MYEF2</t>
  </si>
  <si>
    <t>Homo sapiens myelin expression factor 2 (MYEF2)</t>
  </si>
  <si>
    <t>NP_057216.2</t>
  </si>
  <si>
    <t>PH_hs_0026155</t>
  </si>
  <si>
    <t>MESP1</t>
  </si>
  <si>
    <t>Homo sapiens mesoderm posterior basic helix-loop-helix transcription factor 1 (MESP1)</t>
  </si>
  <si>
    <t>NP_061140.1</t>
  </si>
  <si>
    <t>ENSP00000300057</t>
  </si>
  <si>
    <t>PH_hs_0026233</t>
  </si>
  <si>
    <t>SLC35A3</t>
  </si>
  <si>
    <t>Homo sapiens solute carrier family 35 (UDP-N-acetylglucosamine (UDP-GlcNAc)</t>
  </si>
  <si>
    <t>PH_hs_0026301</t>
  </si>
  <si>
    <t>PH_hs_0026302</t>
  </si>
  <si>
    <t>ADGRD2</t>
  </si>
  <si>
    <t>PREDICTED: Homo sapiens adhesion G protein-coupled receptor D2 (ADGRD2)</t>
  </si>
  <si>
    <t>PH_hs_0026322</t>
  </si>
  <si>
    <t>NSMF</t>
  </si>
  <si>
    <t>Homo sapiens NMDA receptor synaptonuclear signaling and neuronal migration factor (NSMF)</t>
  </si>
  <si>
    <t>PH_hs_0026338</t>
  </si>
  <si>
    <t>PKD2</t>
  </si>
  <si>
    <t>Homo sapiens polycystic kidney disease 2 (autosomal dominant)</t>
  </si>
  <si>
    <t>NP_000288.1</t>
  </si>
  <si>
    <t>CBLL1</t>
  </si>
  <si>
    <t>PH_hs_0026375</t>
  </si>
  <si>
    <t>TRIM52</t>
  </si>
  <si>
    <t>Homo sapiens tripartite motif containing 52 (TRIM52)</t>
  </si>
  <si>
    <t>NP_116154.1</t>
  </si>
  <si>
    <t>ENSP00000483005</t>
  </si>
  <si>
    <t>ZFHX4</t>
  </si>
  <si>
    <t>Homo sapiens zinc finger homeobox 4 (ZFHX4)</t>
  </si>
  <si>
    <t>NP_078997.4</t>
  </si>
  <si>
    <t>PH_hs_0026401</t>
  </si>
  <si>
    <t>MCOLN2</t>
  </si>
  <si>
    <t>Homo sapiens mucolipin 2 (MCOLN2)</t>
  </si>
  <si>
    <t>NP_694991.2</t>
  </si>
  <si>
    <t>PH_hs_0026418</t>
  </si>
  <si>
    <t>CEP112</t>
  </si>
  <si>
    <t>Homo sapiens centrosomal protein 112kDa (CEP112)</t>
  </si>
  <si>
    <t>NP_001032402.1</t>
  </si>
  <si>
    <t>PH_hs_0026447</t>
  </si>
  <si>
    <t>OTUB1</t>
  </si>
  <si>
    <t>PH_hs_0026463</t>
  </si>
  <si>
    <t>RSU1</t>
  </si>
  <si>
    <t>Homo sapiens Ras suppressor protein 1 (RSU1)</t>
  </si>
  <si>
    <t>PH_hs_0026479</t>
  </si>
  <si>
    <t>WDR47</t>
  </si>
  <si>
    <t>Homo sapiens WD repeat domain 47 (WDR47)</t>
  </si>
  <si>
    <t>PH_hs_0026481</t>
  </si>
  <si>
    <t>DDX46</t>
  </si>
  <si>
    <t>NP_055644.2</t>
  </si>
  <si>
    <t>PH_hs_0026483</t>
  </si>
  <si>
    <t>TRIM7</t>
  </si>
  <si>
    <t>Homo sapiens tripartite motif containing 7 (TRIM7)</t>
  </si>
  <si>
    <t>NP_203128.1</t>
  </si>
  <si>
    <t>PH_hs_0026526</t>
  </si>
  <si>
    <t>PHLPP2</t>
  </si>
  <si>
    <t>Homo sapiens PH domain and leucine rich repeat protein phosphatase 2 (PHLPP2)</t>
  </si>
  <si>
    <t>NP_055835.2</t>
  </si>
  <si>
    <t>PH_hs_0026535</t>
  </si>
  <si>
    <t>SPAG9</t>
  </si>
  <si>
    <t>Homo sapiens sperm associated antigen 9 (SPAG9)</t>
  </si>
  <si>
    <t>ZNF271P</t>
  </si>
  <si>
    <t>PH_hs_0026548</t>
  </si>
  <si>
    <t>MTF1</t>
  </si>
  <si>
    <t>Homo sapiens metal-regulatory transcription factor 1 (MTF1)</t>
  </si>
  <si>
    <t>NP_005946.2</t>
  </si>
  <si>
    <t>ENSP00000362127</t>
  </si>
  <si>
    <t>PH_hs_0026551</t>
  </si>
  <si>
    <t>ADI1</t>
  </si>
  <si>
    <t>Homo sapiens acireductone dioxygenase 1 (ADI1)</t>
  </si>
  <si>
    <t>NP_060739.2</t>
  </si>
  <si>
    <t>PH_hs_0026552</t>
  </si>
  <si>
    <t>NKIRAS2</t>
  </si>
  <si>
    <t>Homo sapiens NFKB inhibitor interacting Ras-like 2 (NKIRAS2)</t>
  </si>
  <si>
    <t>PH_hs_0026560</t>
  </si>
  <si>
    <t>ATM</t>
  </si>
  <si>
    <t>Homo sapiens ATM serine/threonine kinase (ATM)</t>
  </si>
  <si>
    <t>NP_000042.3</t>
  </si>
  <si>
    <t>PRDM15</t>
  </si>
  <si>
    <t>Homo sapiens PR domain containing 15 (PRDM15)</t>
  </si>
  <si>
    <t>PH_hs_0026579</t>
  </si>
  <si>
    <t>MYNN</t>
  </si>
  <si>
    <t>Homo sapiens myoneurin (MYNN)</t>
  </si>
  <si>
    <t>PH_hs_0026580</t>
  </si>
  <si>
    <t>USP34</t>
  </si>
  <si>
    <t>Homo sapiens ubiquitin specific peptidase 34 (USP34)</t>
  </si>
  <si>
    <t>NP_055524.3</t>
  </si>
  <si>
    <t>PH_hs_0026608</t>
  </si>
  <si>
    <t>MXD4</t>
  </si>
  <si>
    <t>Homo sapiens MAX dimerization protein 4 (MXD4)</t>
  </si>
  <si>
    <t>NP_006445.1</t>
  </si>
  <si>
    <t>DCTN3</t>
  </si>
  <si>
    <t>Homo sapiens dynactin 3 (p22)</t>
  </si>
  <si>
    <t>PH_hs_0026639</t>
  </si>
  <si>
    <t>CRK</t>
  </si>
  <si>
    <t>Homo sapiens v-crk avian sarcoma virus CT10 oncogene homolog (CRK)</t>
  </si>
  <si>
    <t>PH_hs_0026640</t>
  </si>
  <si>
    <t>DYNLL2</t>
  </si>
  <si>
    <t>NP_542408.1</t>
  </si>
  <si>
    <t>ENST00000579991</t>
  </si>
  <si>
    <t>ENSP00000477310</t>
  </si>
  <si>
    <t>TTBK2</t>
  </si>
  <si>
    <t>Homo sapiens tau tubulin kinase 2 (TTBK2)</t>
  </si>
  <si>
    <t>NP_775771.3</t>
  </si>
  <si>
    <t>DHX57</t>
  </si>
  <si>
    <t>Homo sapiens DEAH (Asp-Glu-Ala-Asp/His)</t>
  </si>
  <si>
    <t>NP_945314.1</t>
  </si>
  <si>
    <t>PH_hs_0026677</t>
  </si>
  <si>
    <t>SCAF8</t>
  </si>
  <si>
    <t>Homo sapiens SR-related CTD-associated factor 8 (SCAF8)</t>
  </si>
  <si>
    <t>NP_055707.3</t>
  </si>
  <si>
    <t>ABCB9</t>
  </si>
  <si>
    <t>PH_hs_0026695</t>
  </si>
  <si>
    <t>HYPK|SERF2-C15ORF63</t>
  </si>
  <si>
    <t>Homo sapiens huntingtin interacting protein K (HYPK)|Homo sapiens SERF2-C15orf63 readthrough (SERF2-C15ORF63)</t>
  </si>
  <si>
    <t>25764|100529067</t>
  </si>
  <si>
    <t>PH_hs_0026721</t>
  </si>
  <si>
    <t>MKNK2</t>
  </si>
  <si>
    <t>Homo sapiens MAP kinase interacting serine/threonine kinase 2 (MKNK2)</t>
  </si>
  <si>
    <t>PH_hs_0026725</t>
  </si>
  <si>
    <t>NDUFAF4</t>
  </si>
  <si>
    <t>NP_054884.1</t>
  </si>
  <si>
    <t>ENSP00000358272</t>
  </si>
  <si>
    <t>PH_hs_0026756</t>
  </si>
  <si>
    <t>RRM2B</t>
  </si>
  <si>
    <t>Homo sapiens ribonucleotide reductase M2 B (TP53 inducible)</t>
  </si>
  <si>
    <t>PH_hs_0026772</t>
  </si>
  <si>
    <t>LSM7</t>
  </si>
  <si>
    <t>NP_057283.1</t>
  </si>
  <si>
    <t>PH_hs_0026787</t>
  </si>
  <si>
    <t>CAND1</t>
  </si>
  <si>
    <t>Homo sapiens cullin-associated and neddylation-dissociated 1 (CAND1)</t>
  </si>
  <si>
    <t>NP_060918.2</t>
  </si>
  <si>
    <t>PH_hs_0026791</t>
  </si>
  <si>
    <t>PH_hs_0026814</t>
  </si>
  <si>
    <t>AZI2</t>
  </si>
  <si>
    <t>Homo sapiens 5-azacytidine induced 2 (AZI2)</t>
  </si>
  <si>
    <t>PH_hs_0026816</t>
  </si>
  <si>
    <t>METTL17</t>
  </si>
  <si>
    <t>Homo sapiens methyltransferase like 17 (METTL17)</t>
  </si>
  <si>
    <t>PH_hs_0026821</t>
  </si>
  <si>
    <t>SPAST</t>
  </si>
  <si>
    <t>Homo sapiens spastin (SPAST)</t>
  </si>
  <si>
    <t>PH_hs_0026852</t>
  </si>
  <si>
    <t>ARHGAP39</t>
  </si>
  <si>
    <t>Homo sapiens Rho GTPase activating protein 39 (ARHGAP39)</t>
  </si>
  <si>
    <t>NP_079527.1</t>
  </si>
  <si>
    <t>PH_hs_0026865</t>
  </si>
  <si>
    <t>IQCG</t>
  </si>
  <si>
    <t>Homo sapiens IQ motif containing G (IQCG)</t>
  </si>
  <si>
    <t>PH_hs_0026866</t>
  </si>
  <si>
    <t>CCDC77</t>
  </si>
  <si>
    <t>Homo sapiens coiled-coil domain containing 77 (CCDC77)</t>
  </si>
  <si>
    <t>PH_hs_0026869</t>
  </si>
  <si>
    <t>ZNF559</t>
  </si>
  <si>
    <t>Homo sapiens zinc finger protein 559 (ZNF559)</t>
  </si>
  <si>
    <t>COL25A1</t>
  </si>
  <si>
    <t>PH_hs_0026880</t>
  </si>
  <si>
    <t>RBM14</t>
  </si>
  <si>
    <t>Homo sapiens RNA binding motif protein 14 (RBM14)</t>
  </si>
  <si>
    <t>ENDOV</t>
  </si>
  <si>
    <t>Homo sapiens endonuclease V (ENDOV)</t>
  </si>
  <si>
    <t>PLXNA1</t>
  </si>
  <si>
    <t>Homo sapiens plexin A1 (PLXNA1)</t>
  </si>
  <si>
    <t>NP_115618.3</t>
  </si>
  <si>
    <t>ENSP00000377061</t>
  </si>
  <si>
    <t>PH_hs_0026964</t>
  </si>
  <si>
    <t>MSL2</t>
  </si>
  <si>
    <t>Homo sapiens male-specific lethal 2 homolog (Drosophila)</t>
  </si>
  <si>
    <t>PH_hs_0027027</t>
  </si>
  <si>
    <t>INHBA</t>
  </si>
  <si>
    <t>NP_002183.1</t>
  </si>
  <si>
    <t>BCKDHB</t>
  </si>
  <si>
    <t>PH_hs_0027046</t>
  </si>
  <si>
    <t>MRPL23</t>
  </si>
  <si>
    <t>Homo sapiens mitochondrial ribosomal protein L23 (MRPL23)</t>
  </si>
  <si>
    <t>NP_066957.3</t>
  </si>
  <si>
    <t>PH_hs_0027055</t>
  </si>
  <si>
    <t>FAM162A</t>
  </si>
  <si>
    <t>NP_055182.3</t>
  </si>
  <si>
    <t>PH_hs_0027060</t>
  </si>
  <si>
    <t>GABARAPL2</t>
  </si>
  <si>
    <t>NP_009216.1</t>
  </si>
  <si>
    <t>PH_hs_0027061</t>
  </si>
  <si>
    <t>RNF13</t>
  </si>
  <si>
    <t>Homo sapiens ring finger protein 13 (RNF13)</t>
  </si>
  <si>
    <t>PH_hs_0027063</t>
  </si>
  <si>
    <t>NOSIP</t>
  </si>
  <si>
    <t>Homo sapiens nitric oxide synthase interacting protein (NOSIP)</t>
  </si>
  <si>
    <t>PH_hs_0027066</t>
  </si>
  <si>
    <t>IFRD1</t>
  </si>
  <si>
    <t>Homo sapiens interferon-related developmental regulator 1 (IFRD1)</t>
  </si>
  <si>
    <t>PH_hs_0027069</t>
  </si>
  <si>
    <t>CNPY2</t>
  </si>
  <si>
    <t>Homo sapiens canopy FGF signaling regulator 2 (CNPY2)</t>
  </si>
  <si>
    <t>NP_055070.1</t>
  </si>
  <si>
    <t>PH_hs_0027072</t>
  </si>
  <si>
    <t>MACROD1</t>
  </si>
  <si>
    <t>Homo sapiens MACRO domain containing 1 (MACROD1)</t>
  </si>
  <si>
    <t>NP_054786.2</t>
  </si>
  <si>
    <t>ENSP00000255681</t>
  </si>
  <si>
    <t>PH_hs_0027075</t>
  </si>
  <si>
    <t>TIMM23</t>
  </si>
  <si>
    <t>Homo sapiens translocase of inner mitochondrial membrane 23 homolog (yeast)</t>
  </si>
  <si>
    <t>ENST00000580018</t>
  </si>
  <si>
    <t>ENSP00000464522</t>
  </si>
  <si>
    <t>PH_hs_0027076</t>
  </si>
  <si>
    <t>TGDS</t>
  </si>
  <si>
    <t>NP_055120.1</t>
  </si>
  <si>
    <t>ENSP00000261296</t>
  </si>
  <si>
    <t>THYN1</t>
  </si>
  <si>
    <t>Homo sapiens thymocyte nuclear protein 1 (THYN1)</t>
  </si>
  <si>
    <t>PH_hs_0027088</t>
  </si>
  <si>
    <t>RILP</t>
  </si>
  <si>
    <t>Homo sapiens Rab interacting lysosomal protein (RILP)</t>
  </si>
  <si>
    <t>NP_113618.2</t>
  </si>
  <si>
    <t>PH_hs_0027100</t>
  </si>
  <si>
    <t>TMEFF2</t>
  </si>
  <si>
    <t>Homo sapiens transmembrane protein with EGF-like and two follistatin-like domains 2 (TMEFF2)</t>
  </si>
  <si>
    <t>NP_057276.2</t>
  </si>
  <si>
    <t>NEK7</t>
  </si>
  <si>
    <t>Homo sapiens NIMA-related kinase 7 (NEK7)</t>
  </si>
  <si>
    <t>NP_598001.1</t>
  </si>
  <si>
    <t>PLAA</t>
  </si>
  <si>
    <t>Homo sapiens phospholipase A2-activating protein (PLAA)</t>
  </si>
  <si>
    <t>NP_001026859.1</t>
  </si>
  <si>
    <t>PH_hs_0027111</t>
  </si>
  <si>
    <t>SAG</t>
  </si>
  <si>
    <t>Homo sapiens S-antigen; retina and pineal gland (arrestin)</t>
  </si>
  <si>
    <t>NP_000532.2</t>
  </si>
  <si>
    <t>PH_hs_0027120</t>
  </si>
  <si>
    <t>ALX1</t>
  </si>
  <si>
    <t>Homo sapiens ALX homeobox 1 (ALX1)</t>
  </si>
  <si>
    <t>NP_008913.2</t>
  </si>
  <si>
    <t>ENST00000316824</t>
  </si>
  <si>
    <t>ENSP00000315417</t>
  </si>
  <si>
    <t>PH_hs_0027122</t>
  </si>
  <si>
    <t>CISD1</t>
  </si>
  <si>
    <t>Homo sapiens CDGSH iron sulfur domain 1 (CISD1)</t>
  </si>
  <si>
    <t>NP_060934.1</t>
  </si>
  <si>
    <t>ENSP00000363041</t>
  </si>
  <si>
    <t>PH_hs_0027123</t>
  </si>
  <si>
    <t>FAM129A</t>
  </si>
  <si>
    <t>NP_443198.1</t>
  </si>
  <si>
    <t>PH_hs_0027142</t>
  </si>
  <si>
    <t>KRT12</t>
  </si>
  <si>
    <t>NP_000214.1</t>
  </si>
  <si>
    <t>ENST00000251643</t>
  </si>
  <si>
    <t>ENSP00000251643</t>
  </si>
  <si>
    <t>PH_hs_0027147</t>
  </si>
  <si>
    <t>ETFB</t>
  </si>
  <si>
    <t>PH_hs_0027160</t>
  </si>
  <si>
    <t>NAIP</t>
  </si>
  <si>
    <t>PH_hs_0027161</t>
  </si>
  <si>
    <t>RGL1</t>
  </si>
  <si>
    <t>Homo sapiens ral guanine nucleotide dissociation stimulator-like 1 (RGL1)</t>
  </si>
  <si>
    <t>NP_055964.3</t>
  </si>
  <si>
    <t>PH_hs_0027169</t>
  </si>
  <si>
    <t>POLD4</t>
  </si>
  <si>
    <t>PH_hs_0027173</t>
  </si>
  <si>
    <t>GADD45GIP1</t>
  </si>
  <si>
    <t>NP_443082.2</t>
  </si>
  <si>
    <t>ENST00000316939</t>
  </si>
  <si>
    <t>ENSP00000323065</t>
  </si>
  <si>
    <t>PH_hs_0027176</t>
  </si>
  <si>
    <t>PTPN11</t>
  </si>
  <si>
    <t>NP_002825.3</t>
  </si>
  <si>
    <t>PH_hs_0027177</t>
  </si>
  <si>
    <t>RPS6KB1</t>
  </si>
  <si>
    <t>PH_hs_0027188</t>
  </si>
  <si>
    <t>NPM3</t>
  </si>
  <si>
    <t>Homo sapiens nucleophosmin/nucleoplasmin 3 (NPM3)</t>
  </si>
  <si>
    <t>NP_008924.1</t>
  </si>
  <si>
    <t>ENSP00000359128</t>
  </si>
  <si>
    <t>PH_hs_0027193</t>
  </si>
  <si>
    <t>C1QC</t>
  </si>
  <si>
    <t>PH_hs_0027203</t>
  </si>
  <si>
    <t>CCNB1IP1</t>
  </si>
  <si>
    <t>PH_hs_0027208</t>
  </si>
  <si>
    <t>NDUFB3</t>
  </si>
  <si>
    <t>-|-</t>
  </si>
  <si>
    <t>PH_hs_0027213</t>
  </si>
  <si>
    <t>AFF1</t>
  </si>
  <si>
    <t>PH_hs_0027219</t>
  </si>
  <si>
    <t>DBR1</t>
  </si>
  <si>
    <t>Homo sapiens debranching RNA lariats 1 (DBR1)</t>
  </si>
  <si>
    <t>NP_057300.2</t>
  </si>
  <si>
    <t>PH_hs_0027224</t>
  </si>
  <si>
    <t>UQCRC1</t>
  </si>
  <si>
    <t>Homo sapiens ubiquinol-cytochrome c reductase core protein I (UQCRC1)</t>
  </si>
  <si>
    <t>NP_003356.2</t>
  </si>
  <si>
    <t>PH_hs_0027225</t>
  </si>
  <si>
    <t>MLKL</t>
  </si>
  <si>
    <t>Homo sapiens mixed lineage kinase domain-like (MLKL)</t>
  </si>
  <si>
    <t>NP_689862.1</t>
  </si>
  <si>
    <t>PH_hs_0027251</t>
  </si>
  <si>
    <t>IRAK4</t>
  </si>
  <si>
    <t>Homo sapiens interleukin-1 receptor-associated kinase 4 (IRAK4)</t>
  </si>
  <si>
    <t>PH_hs_0027288</t>
  </si>
  <si>
    <t>DDA1</t>
  </si>
  <si>
    <t>Homo sapiens DET1 and DDB1 associated 1 (DDA1)</t>
  </si>
  <si>
    <t>NP_076955.1</t>
  </si>
  <si>
    <t>PH_hs_0027292</t>
  </si>
  <si>
    <t>ZNF551</t>
  </si>
  <si>
    <t>Homo sapiens zinc finger protein 551 (ZNF551)</t>
  </si>
  <si>
    <t>LYRM4</t>
  </si>
  <si>
    <t>Homo sapiens LYR motif containing 4 (LYRM4)</t>
  </si>
  <si>
    <t>PH_hs_0027340</t>
  </si>
  <si>
    <t>CFAP20</t>
  </si>
  <si>
    <t>Homo sapiens cilia and flagella associated protein 20 (CFAP20)</t>
  </si>
  <si>
    <t>NP_037374.1</t>
  </si>
  <si>
    <t>PH_hs_0027341</t>
  </si>
  <si>
    <t>TFB1M</t>
  </si>
  <si>
    <t>NP_057104.2</t>
  </si>
  <si>
    <t>ENSP00000356134</t>
  </si>
  <si>
    <t>PH_hs_0027353</t>
  </si>
  <si>
    <t>ITGB1</t>
  </si>
  <si>
    <t>PH_hs_0027355</t>
  </si>
  <si>
    <t>SLC50A1</t>
  </si>
  <si>
    <t>Homo sapiens solute carrier family 50 (sugar efflux transporter)</t>
  </si>
  <si>
    <t>PH_hs_0027376</t>
  </si>
  <si>
    <t>CYSTM1</t>
  </si>
  <si>
    <t>Homo sapiens cysteine-rich transmembrane module containing 1 (CYSTM1)</t>
  </si>
  <si>
    <t>NP_115788.1</t>
  </si>
  <si>
    <t>ENSP00000261811</t>
  </si>
  <si>
    <t>PH_hs_0027381</t>
  </si>
  <si>
    <t>DNAJC17</t>
  </si>
  <si>
    <t>NP_060633.1</t>
  </si>
  <si>
    <t>PH_hs_0027407</t>
  </si>
  <si>
    <t>PROM1</t>
  </si>
  <si>
    <t>Homo sapiens prominin 1 (PROM1)</t>
  </si>
  <si>
    <t>PH_hs_0027408</t>
  </si>
  <si>
    <t>IFI16</t>
  </si>
  <si>
    <t>PH_hs_0027425</t>
  </si>
  <si>
    <t>MFAP2</t>
  </si>
  <si>
    <t>Homo sapiens microfibrillar-associated protein 2 (MFAP2)</t>
  </si>
  <si>
    <t>PH_hs_0027427</t>
  </si>
  <si>
    <t>EIF3A</t>
  </si>
  <si>
    <t>NP_003741.1</t>
  </si>
  <si>
    <t>PH_hs_0027433</t>
  </si>
  <si>
    <t>DPY30</t>
  </si>
  <si>
    <t>Homo sapiens dpy-30 homolog (C. elegans)</t>
  </si>
  <si>
    <t>NP_115963.1</t>
  </si>
  <si>
    <t>PH_hs_0027441</t>
  </si>
  <si>
    <t>CDC27</t>
  </si>
  <si>
    <t>Homo sapiens cell division cycle 27 (CDC27)</t>
  </si>
  <si>
    <t>ADA</t>
  </si>
  <si>
    <t>Homo sapiens adenosine deaminase (ADA)</t>
  </si>
  <si>
    <t>NP_000013.2</t>
  </si>
  <si>
    <t>TMEM183A|TMEM183B</t>
  </si>
  <si>
    <t>Homo sapiens transmembrane protein 183A (TMEM183A)|Homo sapiens transmembrane protein 183B (TMEM183B)</t>
  </si>
  <si>
    <t>92703|653659</t>
  </si>
  <si>
    <t>NM_138391|NM_001079809</t>
  </si>
  <si>
    <t>NP_612400.3|NP_001073277.1</t>
  </si>
  <si>
    <t>ENSG00000163444|ENSG00000163444</t>
  </si>
  <si>
    <t>ENST00000488097|ENST00000488097</t>
  </si>
  <si>
    <t>PH_hs_0027449</t>
  </si>
  <si>
    <t>NDC80</t>
  </si>
  <si>
    <t>Homo sapiens NDC80 kinetochore complex component (NDC80)</t>
  </si>
  <si>
    <t>NP_006092.1</t>
  </si>
  <si>
    <t>PH_hs_0027455</t>
  </si>
  <si>
    <t>LSM1</t>
  </si>
  <si>
    <t>PH_hs_0027461</t>
  </si>
  <si>
    <t>MED28</t>
  </si>
  <si>
    <t>Homo sapiens mediator complex subunit 28 (MED28)</t>
  </si>
  <si>
    <t>NP_079481.2</t>
  </si>
  <si>
    <t>PH_hs_0027491</t>
  </si>
  <si>
    <t>ENSG00000048471</t>
  </si>
  <si>
    <t>PH_hs_0027494</t>
  </si>
  <si>
    <t>ZSCAN4</t>
  </si>
  <si>
    <t>Homo sapiens zinc finger and SCAN domain containing 4 (ZSCAN4)</t>
  </si>
  <si>
    <t>NP_689890.1</t>
  </si>
  <si>
    <t>PH_hs_0027503</t>
  </si>
  <si>
    <t>ENSG00000169402|ENSG00000155026</t>
  </si>
  <si>
    <t>PMAIP1</t>
  </si>
  <si>
    <t>Homo sapiens phorbol-12-myristate-13-acetate-induced protein 1 (PMAIP1)</t>
  </si>
  <si>
    <t>NP_066950.1</t>
  </si>
  <si>
    <t>PH_hs_0027515</t>
  </si>
  <si>
    <t>GRIN1</t>
  </si>
  <si>
    <t>PH_hs_0027529</t>
  </si>
  <si>
    <t>CYP1A2</t>
  </si>
  <si>
    <t>NP_000752.2</t>
  </si>
  <si>
    <t>ENST00000343932</t>
  </si>
  <si>
    <t>ENSP00000342007</t>
  </si>
  <si>
    <t>COMP</t>
  </si>
  <si>
    <t>Homo sapiens cartilage oligomeric matrix protein (COMP)</t>
  </si>
  <si>
    <t>NP_000086.2</t>
  </si>
  <si>
    <t>ABCB10</t>
  </si>
  <si>
    <t>NP_036221.2</t>
  </si>
  <si>
    <t>ENSP00000355637</t>
  </si>
  <si>
    <t>LCN1</t>
  </si>
  <si>
    <t>Homo sapiens lipocalin 1 (LCN1)</t>
  </si>
  <si>
    <t>PH_hs_0027547</t>
  </si>
  <si>
    <t>CMC4</t>
  </si>
  <si>
    <t>NP_001018024.1</t>
  </si>
  <si>
    <t>PH_hs_0027548</t>
  </si>
  <si>
    <t>PH_hs_0027553</t>
  </si>
  <si>
    <t>FAM20B</t>
  </si>
  <si>
    <t>NP_055679.1</t>
  </si>
  <si>
    <t>PH_hs_0027567</t>
  </si>
  <si>
    <t>TUSC2</t>
  </si>
  <si>
    <t>Homo sapiens tumor suppressor candidate 2 (TUSC2)</t>
  </si>
  <si>
    <t>NP_009206.1</t>
  </si>
  <si>
    <t>PDCL</t>
  </si>
  <si>
    <t>Homo sapiens phosducin-like (PDCL)</t>
  </si>
  <si>
    <t>NP_005379.3</t>
  </si>
  <si>
    <t>FAXDC2</t>
  </si>
  <si>
    <t>Homo sapiens fatty acid hydroxylase domain containing 2 (FAXDC2)</t>
  </si>
  <si>
    <t>NP_115761.2</t>
  </si>
  <si>
    <t>ERO1L</t>
  </si>
  <si>
    <t>Homo sapiens ERO1-like (S. cerevisiae)</t>
  </si>
  <si>
    <t>NP_055399.1</t>
  </si>
  <si>
    <t>PH_hs_0027589</t>
  </si>
  <si>
    <t>TIMM17B</t>
  </si>
  <si>
    <t>Homo sapiens translocase of inner mitochondrial membrane 17 homolog B (yeast)</t>
  </si>
  <si>
    <t>PH_hs_0027593</t>
  </si>
  <si>
    <t>POLE4</t>
  </si>
  <si>
    <t>NP_063949.2</t>
  </si>
  <si>
    <t>ENSP00000420176</t>
  </si>
  <si>
    <t>ZBTB2</t>
  </si>
  <si>
    <t>Homo sapiens zinc finger and BTB domain containing 2 (ZBTB2)</t>
  </si>
  <si>
    <t>NP_065912.1</t>
  </si>
  <si>
    <t>ENST00000325144</t>
  </si>
  <si>
    <t>ENSP00000323183</t>
  </si>
  <si>
    <t>PH_hs_0027603</t>
  </si>
  <si>
    <t>NIPSNAP3A</t>
  </si>
  <si>
    <t>Homo sapiens nipsnap homolog 3A (C. elegans)</t>
  </si>
  <si>
    <t>NP_056284.1</t>
  </si>
  <si>
    <t>ENSP00000363899</t>
  </si>
  <si>
    <t>PH_hs_0027612</t>
  </si>
  <si>
    <t>SCFD1</t>
  </si>
  <si>
    <t>Homo sapiens sec1 family domain containing 1 (SCFD1)</t>
  </si>
  <si>
    <t>PH_hs_0027616</t>
  </si>
  <si>
    <t>PPIL1</t>
  </si>
  <si>
    <t>NP_057143.1</t>
  </si>
  <si>
    <t>ENSP00000362803</t>
  </si>
  <si>
    <t>CCDC68</t>
  </si>
  <si>
    <t>Homo sapiens coiled-coil domain containing 68 (CCDC68)</t>
  </si>
  <si>
    <t>PH_hs_0027626</t>
  </si>
  <si>
    <t>H2AFJ</t>
  </si>
  <si>
    <t>MNX1</t>
  </si>
  <si>
    <t>Homo sapiens motor neuron and pancreas homeobox 1 (MNX1)</t>
  </si>
  <si>
    <t>FPGT</t>
  </si>
  <si>
    <t>Homo sapiens fucose-1-phosphate guanylyltransferase (FPGT)</t>
  </si>
  <si>
    <t>ZNF281</t>
  </si>
  <si>
    <t>Homo sapiens zinc finger protein 281 (ZNF281)</t>
  </si>
  <si>
    <t>NP_036614.1</t>
  </si>
  <si>
    <t>PH_hs_0027671</t>
  </si>
  <si>
    <t>NFKB2</t>
  </si>
  <si>
    <t>Homo sapiens nuclear factor of kappa light polypeptide gene enhancer in B-cells 2 (p49/p100)</t>
  </si>
  <si>
    <t>PH_hs_0027687</t>
  </si>
  <si>
    <t>LPAR1</t>
  </si>
  <si>
    <t>Homo sapiens lysophosphatidic acid receptor 1 (LPAR1)</t>
  </si>
  <si>
    <t>PH_hs_0027690</t>
  </si>
  <si>
    <t>LMNB2</t>
  </si>
  <si>
    <t>Homo sapiens lamin B2 (LMNB2)</t>
  </si>
  <si>
    <t>NP_116126.3</t>
  </si>
  <si>
    <t>ENSP00000327054</t>
  </si>
  <si>
    <t>C6orf165</t>
  </si>
  <si>
    <t>Homo sapiens chromosome 6 open reading frame 165 (C6orf165)</t>
  </si>
  <si>
    <t>NP_001026913.1</t>
  </si>
  <si>
    <t>CYP2U1</t>
  </si>
  <si>
    <t>NP_898898.1</t>
  </si>
  <si>
    <t>CAPN10</t>
  </si>
  <si>
    <t>Homo sapiens calpain 10 (CAPN10)</t>
  </si>
  <si>
    <t>PH_hs_0027806</t>
  </si>
  <si>
    <t>METRN</t>
  </si>
  <si>
    <t>NP_076947.1</t>
  </si>
  <si>
    <t>TMX1</t>
  </si>
  <si>
    <t>Homo sapiens thioredoxin-related transmembrane protein 1 (TMX1)</t>
  </si>
  <si>
    <t>NP_110382.3</t>
  </si>
  <si>
    <t>EGLN1</t>
  </si>
  <si>
    <t>Homo sapiens egl-9 family hypoxia-inducible factor 1 (EGLN1)</t>
  </si>
  <si>
    <t>NP_071334.1</t>
  </si>
  <si>
    <t>ENSP00000355601</t>
  </si>
  <si>
    <t>PLAGL1</t>
  </si>
  <si>
    <t>Homo sapiens pleiomorphic adenoma gene-like 1 (PLAGL1)</t>
  </si>
  <si>
    <t>SLC11A1</t>
  </si>
  <si>
    <t>NP_000569.3</t>
  </si>
  <si>
    <t>RNF6</t>
  </si>
  <si>
    <t>Homo sapiens ring finger protein (C3H2C3 type)</t>
  </si>
  <si>
    <t>WDR5B</t>
  </si>
  <si>
    <t>Homo sapiens WD repeat domain 5B (WDR5B)</t>
  </si>
  <si>
    <t>NP_061942.2</t>
  </si>
  <si>
    <t>ENST00000330689</t>
  </si>
  <si>
    <t>ENSP00000330381</t>
  </si>
  <si>
    <t>PH_hs_0027860</t>
  </si>
  <si>
    <t>PPID</t>
  </si>
  <si>
    <t>Homo sapiens peptidylprolyl isomerase D (PPID)</t>
  </si>
  <si>
    <t>NP_005029.1</t>
  </si>
  <si>
    <t>CCNL2</t>
  </si>
  <si>
    <t>Homo sapiens cyclin L2 (CCNL2)</t>
  </si>
  <si>
    <t>NP_112199.2</t>
  </si>
  <si>
    <t>LARP1B</t>
  </si>
  <si>
    <t>PH_hs_0027903</t>
  </si>
  <si>
    <t>PTCH1</t>
  </si>
  <si>
    <t>Homo sapiens patched 1 (PTCH1)</t>
  </si>
  <si>
    <t>PH_hs_0027918</t>
  </si>
  <si>
    <t>HNRNPU</t>
  </si>
  <si>
    <t>Homo sapiens heterogeneous nuclear ribonucleoprotein U (scaffold attachment factor A)</t>
  </si>
  <si>
    <t>RNF170</t>
  </si>
  <si>
    <t>Homo sapiens ring finger protein 170 (RNF170)</t>
  </si>
  <si>
    <t>CTBP2</t>
  </si>
  <si>
    <t>Homo sapiens C-terminal binding protein 2 (CTBP2)</t>
  </si>
  <si>
    <t>PPP2R5E</t>
  </si>
  <si>
    <t>NP_006237.1</t>
  </si>
  <si>
    <t>PH_hs_0027941</t>
  </si>
  <si>
    <t>MALT1</t>
  </si>
  <si>
    <t>Homo sapiens MALT1 paracaspase (MALT1)</t>
  </si>
  <si>
    <t>C9orf64</t>
  </si>
  <si>
    <t>Homo sapiens chromosome 9 open reading frame 64 (C9orf64)</t>
  </si>
  <si>
    <t>NP_115683.3</t>
  </si>
  <si>
    <t>SMG1</t>
  </si>
  <si>
    <t>Homo sapiens SMG1 phosphatidylinositol 3-kinase-related kinase (SMG1)</t>
  </si>
  <si>
    <t>NP_055907.3</t>
  </si>
  <si>
    <t>NP_054701.1</t>
  </si>
  <si>
    <t>PH_hs_0028020</t>
  </si>
  <si>
    <t>TWSG1</t>
  </si>
  <si>
    <t>Homo sapiens twisted gastrulation BMP signaling modulator 1 (TWSG1)</t>
  </si>
  <si>
    <t>NP_065699.1</t>
  </si>
  <si>
    <t>SSTR1</t>
  </si>
  <si>
    <t>Homo sapiens somatostatin receptor 1 (SSTR1)</t>
  </si>
  <si>
    <t>NP_001040.1</t>
  </si>
  <si>
    <t>ENST00000267377</t>
  </si>
  <si>
    <t>ENSP00000267377</t>
  </si>
  <si>
    <t>PH_hs_0028031</t>
  </si>
  <si>
    <t>PSMC3</t>
  </si>
  <si>
    <t>NP_002795.2</t>
  </si>
  <si>
    <t>PCDHB2</t>
  </si>
  <si>
    <t>Homo sapiens protocadherin beta 2 (PCDHB2)</t>
  </si>
  <si>
    <t>NP_061759.1</t>
  </si>
  <si>
    <t>PH_hs_0028053</t>
  </si>
  <si>
    <t>SUPT16H</t>
  </si>
  <si>
    <t>Homo sapiens suppressor of Ty 16 homolog (S. cerevisiae)</t>
  </si>
  <si>
    <t>NP_009123.1</t>
  </si>
  <si>
    <t>PH_hs_0028077</t>
  </si>
  <si>
    <t>GALNT1</t>
  </si>
  <si>
    <t>Homo sapiens polypeptide N-acetylgalactosaminyltransferase 1 (GALNT1)</t>
  </si>
  <si>
    <t>NP_065207.2</t>
  </si>
  <si>
    <t>PH_hs_0028084</t>
  </si>
  <si>
    <t>PCYOX1</t>
  </si>
  <si>
    <t>Homo sapiens prenylcysteine oxidase 1 (PCYOX1)</t>
  </si>
  <si>
    <t>NP_057381.3</t>
  </si>
  <si>
    <t>FGF2</t>
  </si>
  <si>
    <t>Homo sapiens fibroblast growth factor 2 (basic)</t>
  </si>
  <si>
    <t>NP_001997.5</t>
  </si>
  <si>
    <t>IMPACT</t>
  </si>
  <si>
    <t>Homo sapiens impact RWD domain protein (IMPACT)</t>
  </si>
  <si>
    <t>NP_060909.1</t>
  </si>
  <si>
    <t>PH_hs_0028131</t>
  </si>
  <si>
    <t>MAP3K7</t>
  </si>
  <si>
    <t>Homo sapiens mitogen-activated protein kinase kinase kinase 7 (MAP3K7)</t>
  </si>
  <si>
    <t>PH_hs_0028151</t>
  </si>
  <si>
    <t>ZNF326</t>
  </si>
  <si>
    <t>Homo sapiens zinc finger protein 326 (ZNF326)</t>
  </si>
  <si>
    <t>NP_892021.1</t>
  </si>
  <si>
    <t>PH_hs_0028163</t>
  </si>
  <si>
    <t>FBXL3</t>
  </si>
  <si>
    <t>Homo sapiens F-box and leucine-rich repeat protein 3 (FBXL3)</t>
  </si>
  <si>
    <t>NP_036290.1</t>
  </si>
  <si>
    <t>CALM3</t>
  </si>
  <si>
    <t>NP_005175.2</t>
  </si>
  <si>
    <t>ENST00000595072</t>
  </si>
  <si>
    <t>PH_hs_0028196</t>
  </si>
  <si>
    <t>PLSCR1</t>
  </si>
  <si>
    <t>Homo sapiens phospholipid scramblase 1 (PLSCR1)</t>
  </si>
  <si>
    <t>NP_066928.1</t>
  </si>
  <si>
    <t>PH_hs_0028213</t>
  </si>
  <si>
    <t>ZPLD1</t>
  </si>
  <si>
    <t>Homo sapiens zona pellucida-like domain containing 1 (ZPLD1)</t>
  </si>
  <si>
    <t>NP_778226.1</t>
  </si>
  <si>
    <t>PH_hs_0028218</t>
  </si>
  <si>
    <t>MRPS15</t>
  </si>
  <si>
    <t>Homo sapiens mitochondrial ribosomal protein S15 (MRPS15)</t>
  </si>
  <si>
    <t>NP_112570.2</t>
  </si>
  <si>
    <t>ENSP00000362208</t>
  </si>
  <si>
    <t>PH_hs_0028219</t>
  </si>
  <si>
    <t>10-Sep</t>
  </si>
  <si>
    <t>Homo sapiens septin 10 (SEPT10)</t>
  </si>
  <si>
    <t>PH_hs_0028230</t>
  </si>
  <si>
    <t>MOCS1</t>
  </si>
  <si>
    <t>Homo sapiens molybdenum cofactor synthesis 1 (MOCS1)</t>
  </si>
  <si>
    <t>NP_005934.2</t>
  </si>
  <si>
    <t>PH_hs_0028232</t>
  </si>
  <si>
    <t>ZNF345</t>
  </si>
  <si>
    <t>Homo sapiens zinc finger protein 345 (ZNF345)</t>
  </si>
  <si>
    <t>ZNF236</t>
  </si>
  <si>
    <t>Homo sapiens zinc finger protein 236 (ZNF236)</t>
  </si>
  <si>
    <t>NP_031371.3</t>
  </si>
  <si>
    <t>PH_hs_0028251</t>
  </si>
  <si>
    <t>RPS15A</t>
  </si>
  <si>
    <t>Homo sapiens ribosomal protein S15a (RPS15A)</t>
  </si>
  <si>
    <t>NP_001010.2</t>
  </si>
  <si>
    <t>RIMKLB</t>
  </si>
  <si>
    <t>Homo sapiens ribosomal modification protein rimK-like family member B (RIMKLB)</t>
  </si>
  <si>
    <t>NP_065785.2</t>
  </si>
  <si>
    <t>PH_hs_0028290</t>
  </si>
  <si>
    <t>DDX3X</t>
  </si>
  <si>
    <t>PH_hs_0028327</t>
  </si>
  <si>
    <t>FAM200B</t>
  </si>
  <si>
    <t>NP_001138663.1</t>
  </si>
  <si>
    <t>BBS12</t>
  </si>
  <si>
    <t>Homo sapiens Bardet-Biedl syndrome 12 (BBS12)</t>
  </si>
  <si>
    <t>PH_hs_0028332</t>
  </si>
  <si>
    <t>RSL1D1</t>
  </si>
  <si>
    <t>Homo sapiens ribosomal L1 domain containing 1 (RSL1D1)</t>
  </si>
  <si>
    <t>NP_056474.2</t>
  </si>
  <si>
    <t>PH_hs_0028334</t>
  </si>
  <si>
    <t>AP3S1</t>
  </si>
  <si>
    <t>NP_001275.1</t>
  </si>
  <si>
    <t>PH_hs_0028337</t>
  </si>
  <si>
    <t>EIF4EBP1</t>
  </si>
  <si>
    <t>Homo sapiens eukaryotic translation initiation factor 4E binding protein 1 (EIF4EBP1)</t>
  </si>
  <si>
    <t>NP_004086.1</t>
  </si>
  <si>
    <t>ENSP00000340691</t>
  </si>
  <si>
    <t>PH_hs_0028356</t>
  </si>
  <si>
    <t>C9orf16</t>
  </si>
  <si>
    <t>Homo sapiens chromosome 9 open reading frame 16 (C9orf16)</t>
  </si>
  <si>
    <t>NP_077017.1</t>
  </si>
  <si>
    <t>ENSP00000362085</t>
  </si>
  <si>
    <t>PH_hs_0028357</t>
  </si>
  <si>
    <t>NELFB</t>
  </si>
  <si>
    <t>Homo sapiens negative elongation factor complex member B (NELFB)</t>
  </si>
  <si>
    <t>NP_056271.2</t>
  </si>
  <si>
    <t>ENST00000343053</t>
  </si>
  <si>
    <t>ENSP00000339495</t>
  </si>
  <si>
    <t>PH_hs_0028363</t>
  </si>
  <si>
    <t>MICU2</t>
  </si>
  <si>
    <t>Homo sapiens mitochondrial calcium uptake 2 (MICU2)</t>
  </si>
  <si>
    <t>NP_689939.1</t>
  </si>
  <si>
    <t>FAM91A1</t>
  </si>
  <si>
    <t>NP_659400.2</t>
  </si>
  <si>
    <t>PH_hs_0028373</t>
  </si>
  <si>
    <t>OSBPL1A</t>
  </si>
  <si>
    <t>Homo sapiens oxysterol binding protein-like 1A (OSBPL1A)</t>
  </si>
  <si>
    <t>PH_hs_0028374</t>
  </si>
  <si>
    <t>CDC42EP5</t>
  </si>
  <si>
    <t>NP_659494.2</t>
  </si>
  <si>
    <t>PH_hs_0028389</t>
  </si>
  <si>
    <t>GLTSCR2</t>
  </si>
  <si>
    <t>Homo sapiens glioma tumor suppressor candidate region gene 2 (GLTSCR2)</t>
  </si>
  <si>
    <t>NP_056525.2</t>
  </si>
  <si>
    <t>PH_hs_0028390</t>
  </si>
  <si>
    <t>SRI</t>
  </si>
  <si>
    <t>Homo sapiens sorcin (SRI)</t>
  </si>
  <si>
    <t>PH_hs_0028398</t>
  </si>
  <si>
    <t>PH_hs_0028420</t>
  </si>
  <si>
    <t>NKAP</t>
  </si>
  <si>
    <t>Homo sapiens NFKB activating protein (NKAP)</t>
  </si>
  <si>
    <t>NP_078804.2</t>
  </si>
  <si>
    <t>ENSP00000360464</t>
  </si>
  <si>
    <t>PH_hs_0028425</t>
  </si>
  <si>
    <t>SENP6</t>
  </si>
  <si>
    <t>Homo sapiens SUMO1/sentrin specific peptidase 6 (SENP6)</t>
  </si>
  <si>
    <t>PH_hs_0028426</t>
  </si>
  <si>
    <t>CPSF2</t>
  </si>
  <si>
    <t>NP_059133.1</t>
  </si>
  <si>
    <t>PH_hs_0028430</t>
  </si>
  <si>
    <t>USP32</t>
  </si>
  <si>
    <t>Homo sapiens ubiquitin specific peptidase 32 (USP32)</t>
  </si>
  <si>
    <t>NP_115971.2</t>
  </si>
  <si>
    <t>PH_hs_0028443</t>
  </si>
  <si>
    <t>CMC1</t>
  </si>
  <si>
    <t>NP_872329.1</t>
  </si>
  <si>
    <t>TANC1</t>
  </si>
  <si>
    <t>PH_hs_0028448</t>
  </si>
  <si>
    <t>PAM16|CORO7-PAM16</t>
  </si>
  <si>
    <t>Homo sapiens presequence translocase-associated motor 16 homolog (S. cerevisiae)|Homo sapiens CORO7-PAM16 readthrough (CORO7-PAM16)</t>
  </si>
  <si>
    <t>51025|100529144</t>
  </si>
  <si>
    <t>NM_016069|NM_001201479</t>
  </si>
  <si>
    <t>NP_057153.8|NP_001188408.1</t>
  </si>
  <si>
    <t>ENSG00000282228|ENSG00000278760</t>
  </si>
  <si>
    <t>PH_hs_0028450</t>
  </si>
  <si>
    <t>PDZD7</t>
  </si>
  <si>
    <t>Homo sapiens PDZ domain containing 7 (PDZD7)</t>
  </si>
  <si>
    <t>NP_079171.1</t>
  </si>
  <si>
    <t>SSFA2</t>
  </si>
  <si>
    <t>Homo sapiens sperm specific antigen 2 (SSFA2)</t>
  </si>
  <si>
    <t>PH_hs_0028458</t>
  </si>
  <si>
    <t>ZNF766</t>
  </si>
  <si>
    <t>Homo sapiens zinc finger protein 766 (ZNF766)</t>
  </si>
  <si>
    <t>NP_001010851.1</t>
  </si>
  <si>
    <t>ZNF283</t>
  </si>
  <si>
    <t>Homo sapiens zinc finger protein 283 (ZNF283)</t>
  </si>
  <si>
    <t>NP_862828.1</t>
  </si>
  <si>
    <t>ZDHHC22</t>
  </si>
  <si>
    <t>NP_777636.2</t>
  </si>
  <si>
    <t>PH_hs_0028539</t>
  </si>
  <si>
    <t>ISG15</t>
  </si>
  <si>
    <t>Homo sapiens ISG15 ubiquitin-like modifier (ISG15)</t>
  </si>
  <si>
    <t>NP_005092.1</t>
  </si>
  <si>
    <t>NBEAL1</t>
  </si>
  <si>
    <t>Homo sapiens neurobeachin-like 1 (NBEAL1)</t>
  </si>
  <si>
    <t>NP_001107604.1</t>
  </si>
  <si>
    <t>RBPJ</t>
  </si>
  <si>
    <t>Homo sapiens recombination signal binding protein for immunoglobulin kappa J region (RBPJ)</t>
  </si>
  <si>
    <t>ENSA</t>
  </si>
  <si>
    <t>Homo sapiens endosulfine alpha (ENSA)</t>
  </si>
  <si>
    <t>4-Mar</t>
  </si>
  <si>
    <t>NP_065865.1</t>
  </si>
  <si>
    <t>ENST00000273067</t>
  </si>
  <si>
    <t>ENSP00000273067</t>
  </si>
  <si>
    <t>PH_hs_0028640</t>
  </si>
  <si>
    <t>DNAJB14</t>
  </si>
  <si>
    <t>NP_001026893.1</t>
  </si>
  <si>
    <t>PH_hs_0028649</t>
  </si>
  <si>
    <t>SLMO1</t>
  </si>
  <si>
    <t>Homo sapiens slowmo homolog 1 (Drosophila)</t>
  </si>
  <si>
    <t>PH_hs_0028688</t>
  </si>
  <si>
    <t>FPR1</t>
  </si>
  <si>
    <t>Homo sapiens formyl peptide receptor 1 (FPR1)</t>
  </si>
  <si>
    <t>PH_hs_0028697</t>
  </si>
  <si>
    <t>COX5B</t>
  </si>
  <si>
    <t>Homo sapiens cytochrome c oxidase subunit Vb (COX5B)</t>
  </si>
  <si>
    <t>NP_001853.2</t>
  </si>
  <si>
    <t>ENSP00000258424</t>
  </si>
  <si>
    <t>KCNQ2</t>
  </si>
  <si>
    <t>PH_hs_0028733</t>
  </si>
  <si>
    <t>OFD1</t>
  </si>
  <si>
    <t>Homo sapiens oral-facial-digital syndrome 1 (OFD1)</t>
  </si>
  <si>
    <t>NP_003602.1</t>
  </si>
  <si>
    <t>PH_hs_0028786</t>
  </si>
  <si>
    <t>FUCA2</t>
  </si>
  <si>
    <t>NP_114409.2</t>
  </si>
  <si>
    <t>PH_hs_0028793</t>
  </si>
  <si>
    <t>XPNPEP3</t>
  </si>
  <si>
    <t>NP_071381.1</t>
  </si>
  <si>
    <t>PH_hs_0028803</t>
  </si>
  <si>
    <t>C22orf46</t>
  </si>
  <si>
    <t>Homo sapiens chromosome 22 open reading frame 46 (C22orf46)</t>
  </si>
  <si>
    <t>NP_001136436.1</t>
  </si>
  <si>
    <t>ENSP00000385467</t>
  </si>
  <si>
    <t>PH_hs_0028805</t>
  </si>
  <si>
    <t>CHORDC1|LOC727896</t>
  </si>
  <si>
    <t>Homo sapiens cysteine and histidine-rich domain (CHORD)|Homo sapiens cysteine and histidine-rich domain (CHORD)</t>
  </si>
  <si>
    <t>26973|727896</t>
  </si>
  <si>
    <t>PH_hs_0028813</t>
  </si>
  <si>
    <t>ZDHHC20</t>
  </si>
  <si>
    <t>NP_694983.2</t>
  </si>
  <si>
    <t>PH_hs_0028825</t>
  </si>
  <si>
    <t>ZNF26</t>
  </si>
  <si>
    <t>Homo sapiens zinc finger protein 26 (ZNF26)</t>
  </si>
  <si>
    <t>PH_hs_0028828</t>
  </si>
  <si>
    <t>ASTN2</t>
  </si>
  <si>
    <t>Homo sapiens astrotactin 2 (ASTN2)</t>
  </si>
  <si>
    <t>PH_hs_0028864</t>
  </si>
  <si>
    <t>GREM1</t>
  </si>
  <si>
    <t>PH_hs_0028878</t>
  </si>
  <si>
    <t>NDUFA12</t>
  </si>
  <si>
    <t>PH_hs_0028882</t>
  </si>
  <si>
    <t>RNF141</t>
  </si>
  <si>
    <t>Homo sapiens ring finger protein 141 (RNF141)</t>
  </si>
  <si>
    <t>NP_057506.2</t>
  </si>
  <si>
    <t>PH_hs_0028896</t>
  </si>
  <si>
    <t>ZNF112</t>
  </si>
  <si>
    <t>Homo sapiens zinc finger protein 112 (ZNF112)</t>
  </si>
  <si>
    <t>PH_hs_0028898</t>
  </si>
  <si>
    <t>ZNF189</t>
  </si>
  <si>
    <t>Homo sapiens zinc finger protein 189 (ZNF189)</t>
  </si>
  <si>
    <t>PH_hs_0028904</t>
  </si>
  <si>
    <t>NDUFV2</t>
  </si>
  <si>
    <t>NP_066552.2</t>
  </si>
  <si>
    <t>PH_hs_0028910</t>
  </si>
  <si>
    <t>GCAT</t>
  </si>
  <si>
    <t>Homo sapiens glycine C-acetyltransferase (GCAT)</t>
  </si>
  <si>
    <t>NP_055106.1</t>
  </si>
  <si>
    <t>PH_hs_0028972</t>
  </si>
  <si>
    <t>HSPB1</t>
  </si>
  <si>
    <t>Homo sapiens heat shock 27kDa protein 1 (HSPB1)</t>
  </si>
  <si>
    <t>NP_001531.1</t>
  </si>
  <si>
    <t>PH_hs_0028974</t>
  </si>
  <si>
    <t>AURKAIP1</t>
  </si>
  <si>
    <t>Homo sapiens aurora kinase A interacting protein 1 (AURKAIP1)</t>
  </si>
  <si>
    <t>PH_hs_0028980</t>
  </si>
  <si>
    <t>MYL6</t>
  </si>
  <si>
    <t>NP_066299.2</t>
  </si>
  <si>
    <t>PH_hs_0028987</t>
  </si>
  <si>
    <t>TCF21</t>
  </si>
  <si>
    <t>Homo sapiens transcription factor 21 (TCF21)</t>
  </si>
  <si>
    <t>NP_003197.2</t>
  </si>
  <si>
    <t>PH_hs_0028988</t>
  </si>
  <si>
    <t>AKR1C3</t>
  </si>
  <si>
    <t>PH_hs_0028994</t>
  </si>
  <si>
    <t>PCNA</t>
  </si>
  <si>
    <t>Homo sapiens proliferating cell nuclear antigen (PCNA)</t>
  </si>
  <si>
    <t>NSG1</t>
  </si>
  <si>
    <t>Homo sapiens neuron specific gene family member 1 (NSG1)</t>
  </si>
  <si>
    <t>PH_hs_0029003</t>
  </si>
  <si>
    <t>RPL37</t>
  </si>
  <si>
    <t>Homo sapiens ribosomal protein L37 (RPL37)</t>
  </si>
  <si>
    <t>NP_000988.1</t>
  </si>
  <si>
    <t>PH_hs_0029008</t>
  </si>
  <si>
    <t>PF4</t>
  </si>
  <si>
    <t>Homo sapiens platelet factor 4 (PF4)</t>
  </si>
  <si>
    <t>NP_002610.1</t>
  </si>
  <si>
    <t>ENST00000296029</t>
  </si>
  <si>
    <t>ENSP00000296029</t>
  </si>
  <si>
    <t>PH_hs_0029010</t>
  </si>
  <si>
    <t>MAOB</t>
  </si>
  <si>
    <t>Homo sapiens monoamine oxidase B (MAOB)</t>
  </si>
  <si>
    <t>NP_000889.3</t>
  </si>
  <si>
    <t>ENSP00000367309</t>
  </si>
  <si>
    <t>PH_hs_0029014</t>
  </si>
  <si>
    <t>PSMB3</t>
  </si>
  <si>
    <t>NP_002786.2</t>
  </si>
  <si>
    <t>SNRPB</t>
  </si>
  <si>
    <t>Homo sapiens small nuclear ribonucleoprotein polypeptides B and B1 (SNRPB)</t>
  </si>
  <si>
    <t>PH_hs_0029021</t>
  </si>
  <si>
    <t>TARS</t>
  </si>
  <si>
    <t>Homo sapiens threonyl-tRNA synthetase (TARS)</t>
  </si>
  <si>
    <t>PH_hs_0029042</t>
  </si>
  <si>
    <t>PBX2</t>
  </si>
  <si>
    <t>Homo sapiens pre-B-cell leukemia homeobox 2 (PBX2)</t>
  </si>
  <si>
    <t>NP_002577.2</t>
  </si>
  <si>
    <t>ENSP00000391745</t>
  </si>
  <si>
    <t>PH_hs_0029069</t>
  </si>
  <si>
    <t>TMEM106C</t>
  </si>
  <si>
    <t>Homo sapiens transmembrane protein 106C (TMEM106C)</t>
  </si>
  <si>
    <t>AIMP1</t>
  </si>
  <si>
    <t>Homo sapiens aminoacyl tRNA synthetase complex-interacting multifunctional protein 1 (AIMP1)</t>
  </si>
  <si>
    <t>PH_hs_0029088</t>
  </si>
  <si>
    <t>CLDN5</t>
  </si>
  <si>
    <t>Homo sapiens claudin 5 (CLDN5)</t>
  </si>
  <si>
    <t>ARL4C</t>
  </si>
  <si>
    <t>Homo sapiens ADP-ribosylation factor-like 4C (ARL4C)</t>
  </si>
  <si>
    <t>NP_005728.2</t>
  </si>
  <si>
    <t>PH_hs_0029098</t>
  </si>
  <si>
    <t>TOMM7</t>
  </si>
  <si>
    <t>Homo sapiens translocase of outer mitochondrial membrane 7 homolog (yeast)</t>
  </si>
  <si>
    <t>NP_061932.1</t>
  </si>
  <si>
    <t>PH_hs_0029147</t>
  </si>
  <si>
    <t>RBM7</t>
  </si>
  <si>
    <t>Homo sapiens RNA binding motif protein 7 (RBM7)</t>
  </si>
  <si>
    <t>NP_057174.1</t>
  </si>
  <si>
    <t>PH_hs_0029148</t>
  </si>
  <si>
    <t>AP5B1</t>
  </si>
  <si>
    <t>NP_612377.4</t>
  </si>
  <si>
    <t>ENST00000532090</t>
  </si>
  <si>
    <t>ENSP00000454303</t>
  </si>
  <si>
    <t>PH_hs_0029164</t>
  </si>
  <si>
    <t>INAFM1</t>
  </si>
  <si>
    <t>Homo sapiens InaF-motif containing 1 (INAFM1)</t>
  </si>
  <si>
    <t>ENST00000552360</t>
  </si>
  <si>
    <t>ENSP00000447679</t>
  </si>
  <si>
    <t>PH_hs_0029173</t>
  </si>
  <si>
    <t>PH_hs_0029180</t>
  </si>
  <si>
    <t>RPL39L</t>
  </si>
  <si>
    <t>Homo sapiens ribosomal protein L39-like (RPL39L)</t>
  </si>
  <si>
    <t>NP_443201.1</t>
  </si>
  <si>
    <t>PH_hs_0029201</t>
  </si>
  <si>
    <t>HIST1H2BL|HIST1H2BK|HIST2H2BF|HIST2H2BA|HIST1H2BM|HIST1H2BD|HIST1H2BF|HIST1H2BB|HIST1H2BE|HIST1H2BI|HIST2H2BC</t>
  </si>
  <si>
    <t>8340|85236|440689|337875|8342|3017|8343|3018|8344|8346|337873</t>
  </si>
  <si>
    <t>ENSG00000185130|ENSG00000197903|ENSG00000203814|ENSG00000273703|ENSG00000158373|ENSG00000277224|ENSG00000276410|ENSG00000274290|ENSG00000278588|ENSG00000203819</t>
  </si>
  <si>
    <t>PH_hs_0029210</t>
  </si>
  <si>
    <t>ING3</t>
  </si>
  <si>
    <t>NP_061944.2</t>
  </si>
  <si>
    <t>PH_hs_0029232</t>
  </si>
  <si>
    <t>RNF122</t>
  </si>
  <si>
    <t>Homo sapiens ring finger protein 122 (RNF122)</t>
  </si>
  <si>
    <t>NP_079063.2</t>
  </si>
  <si>
    <t>ENST00000256257</t>
  </si>
  <si>
    <t>ENSP00000256257</t>
  </si>
  <si>
    <t>PH_hs_0029273</t>
  </si>
  <si>
    <t>SURF2</t>
  </si>
  <si>
    <t>Homo sapiens surfeit 2 (SURF2)</t>
  </si>
  <si>
    <t>NP_059973.4</t>
  </si>
  <si>
    <t>ENSP00000361032</t>
  </si>
  <si>
    <t>PH_hs_0029291</t>
  </si>
  <si>
    <t>MITF</t>
  </si>
  <si>
    <t>Homo sapiens microphthalmia-associated transcription factor (MITF)</t>
  </si>
  <si>
    <t>PH_hs_0029324</t>
  </si>
  <si>
    <t>TCEB2</t>
  </si>
  <si>
    <t>Homo sapiens transcription elongation factor B (SIII)</t>
  </si>
  <si>
    <t>PH_hs_0029342</t>
  </si>
  <si>
    <t>MRPS16</t>
  </si>
  <si>
    <t>Homo sapiens mitochondrial ribosomal protein S16 (MRPS16)</t>
  </si>
  <si>
    <t>NP_057149.1</t>
  </si>
  <si>
    <t>COX6A1</t>
  </si>
  <si>
    <t>Homo sapiens cytochrome c oxidase subunit VIa polypeptide 1 (COX6A1)</t>
  </si>
  <si>
    <t>NP_004364.2</t>
  </si>
  <si>
    <t>ENSP00000229379</t>
  </si>
  <si>
    <t>PH_hs_0029350</t>
  </si>
  <si>
    <t>DUSP3</t>
  </si>
  <si>
    <t>Homo sapiens dual specificity phosphatase 3 (DUSP3)</t>
  </si>
  <si>
    <t>NP_004081.1</t>
  </si>
  <si>
    <t>PH_hs_0029384</t>
  </si>
  <si>
    <t>RPL4</t>
  </si>
  <si>
    <t>Homo sapiens ribosomal protein L4 (RPL4)</t>
  </si>
  <si>
    <t>NP_000959.2</t>
  </si>
  <si>
    <t>SALL4</t>
  </si>
  <si>
    <t>Homo sapiens spalt-like transcription factor 4 (SALL4)</t>
  </si>
  <si>
    <t>NP_065169.1</t>
  </si>
  <si>
    <t>PH_hs_0029413</t>
  </si>
  <si>
    <t>NDUFA3</t>
  </si>
  <si>
    <t>NP_004533.1</t>
  </si>
  <si>
    <t>ENST00000612327</t>
  </si>
  <si>
    <t>ENSP00000480437</t>
  </si>
  <si>
    <t>PH_hs_0029474</t>
  </si>
  <si>
    <t>NKD2</t>
  </si>
  <si>
    <t>Homo sapiens naked cuticle homolog 2 (Drosophila)</t>
  </si>
  <si>
    <t>PH_hs_0029477</t>
  </si>
  <si>
    <t>GMCL1</t>
  </si>
  <si>
    <t>NP_848526.1</t>
  </si>
  <si>
    <t>ENSP00000282570</t>
  </si>
  <si>
    <t>PH_hs_0029487</t>
  </si>
  <si>
    <t>HIST1H3G</t>
  </si>
  <si>
    <t>NP_003525.1</t>
  </si>
  <si>
    <t>ENST00000614378</t>
  </si>
  <si>
    <t>ENSP00000484638</t>
  </si>
  <si>
    <t>PH_hs_0029489</t>
  </si>
  <si>
    <t>HIST1H2BH|HIST1H2BL|HIST1H2BE|HIST1H2BK|HIST2H2BF|HIST1H2BN|HIST1H2BM|HIST2H2BC|HIST2H2BA</t>
  </si>
  <si>
    <t>8345|8340|8344|85236|440689|8341|8342|337873|337875</t>
  </si>
  <si>
    <t>ENSG00000275713|ENSG00000185130|ENSG00000274290|ENSG00000197903|ENSG00000203814|ENSG00000233822|ENSG00000273703|ENSG00000203819</t>
  </si>
  <si>
    <t>PH_hs_0029496</t>
  </si>
  <si>
    <t>HBQ1</t>
  </si>
  <si>
    <t>NP_005322.1</t>
  </si>
  <si>
    <t>ENST00000199708</t>
  </si>
  <si>
    <t>ENSP00000199708</t>
  </si>
  <si>
    <t>IKZF3</t>
  </si>
  <si>
    <t>Homo sapiens IKAROS family zinc finger 3 (Aiolos)</t>
  </si>
  <si>
    <t>PH_hs_0029548</t>
  </si>
  <si>
    <t>PPP1R2</t>
  </si>
  <si>
    <t>NP_006232.1</t>
  </si>
  <si>
    <t>PH_hs_0029556</t>
  </si>
  <si>
    <t>MAPK6</t>
  </si>
  <si>
    <t>Homo sapiens mitogen-activated protein kinase 6 (MAPK6)</t>
  </si>
  <si>
    <t>NP_002739.1</t>
  </si>
  <si>
    <t>ENSP00000261845</t>
  </si>
  <si>
    <t>PH_hs_0029563</t>
  </si>
  <si>
    <t>PH_hs_0029608</t>
  </si>
  <si>
    <t>RBM39</t>
  </si>
  <si>
    <t>Homo sapiens RNA binding motif protein 39 (RBM39)</t>
  </si>
  <si>
    <t>PH_hs_0029623</t>
  </si>
  <si>
    <t>FAM127B</t>
  </si>
  <si>
    <t>ENSP00000375267</t>
  </si>
  <si>
    <t>PH_hs_0029628</t>
  </si>
  <si>
    <t>PH_hs_0029630</t>
  </si>
  <si>
    <t>UQCRH|UQCRHL</t>
  </si>
  <si>
    <t>Homo sapiens ubiquinol-cytochrome c reductase hinge protein (UQCRH)|Homo sapiens ubiquinol-cytochrome c reductase hinge protein-like (UQCRHL)</t>
  </si>
  <si>
    <t>7388|440567</t>
  </si>
  <si>
    <t>NM_006004|NM_001089591</t>
  </si>
  <si>
    <t>NP_005995.2|NP_001083060.1</t>
  </si>
  <si>
    <t>ENSG00000173660|ENSG00000233954</t>
  </si>
  <si>
    <t>PH_hs_0029642</t>
  </si>
  <si>
    <t>MRPL9</t>
  </si>
  <si>
    <t>Homo sapiens mitochondrial ribosomal protein L9 (MRPL9)</t>
  </si>
  <si>
    <t>NP_113608.1</t>
  </si>
  <si>
    <t>PH_hs_0029660</t>
  </si>
  <si>
    <t>AKR1C1|AKR1C3|AKR1C4</t>
  </si>
  <si>
    <t>1645|8644|1109</t>
  </si>
  <si>
    <t>ENSG00000187134|ENSG00000196139|ENSG00000198610</t>
  </si>
  <si>
    <t>PH_hs_0029676</t>
  </si>
  <si>
    <t>BID</t>
  </si>
  <si>
    <t>Homo sapiens BH3 interacting domain death agonist (BID)</t>
  </si>
  <si>
    <t>PH_hs_0029712</t>
  </si>
  <si>
    <t>ENKD1</t>
  </si>
  <si>
    <t>Homo sapiens enkurin domain containing 1 (ENKD1)</t>
  </si>
  <si>
    <t>NP_115516.1</t>
  </si>
  <si>
    <t>PH_hs_0029719</t>
  </si>
  <si>
    <t>ZNF430</t>
  </si>
  <si>
    <t>Homo sapiens zinc finger protein 430 (ZNF430)</t>
  </si>
  <si>
    <t>PH_hs_0029735</t>
  </si>
  <si>
    <t>ZNF354A</t>
  </si>
  <si>
    <t>Homo sapiens zinc finger protein 354A (ZNF354A)</t>
  </si>
  <si>
    <t>NP_005640.2</t>
  </si>
  <si>
    <t>PH_hs_0029740</t>
  </si>
  <si>
    <t>SSBP4</t>
  </si>
  <si>
    <t>Homo sapiens single stranded DNA binding protein 4 (SSBP4)</t>
  </si>
  <si>
    <t>PH_hs_0029742</t>
  </si>
  <si>
    <t>WDR18</t>
  </si>
  <si>
    <t>Homo sapiens WD repeat domain 18 (WDR18)</t>
  </si>
  <si>
    <t>NP_077005.2</t>
  </si>
  <si>
    <t>PH_hs_0029776</t>
  </si>
  <si>
    <t>RNASEH2C</t>
  </si>
  <si>
    <t>NP_115569.2</t>
  </si>
  <si>
    <t>PH_hs_0029786</t>
  </si>
  <si>
    <t>RPS27</t>
  </si>
  <si>
    <t>Homo sapiens ribosomal protein S27 (RPS27)</t>
  </si>
  <si>
    <t>NP_001021.1</t>
  </si>
  <si>
    <t>PH_hs_0029800</t>
  </si>
  <si>
    <t>DGCR6L|DGCR6</t>
  </si>
  <si>
    <t>Homo sapiens DiGeorge syndrome critical region gene 6-like (DGCR6L)|Homo sapiens DiGeorge syndrome critical region gene 6 (DGCR6)</t>
  </si>
  <si>
    <t>85359|8214</t>
  </si>
  <si>
    <t>NM_033257|NM_005675</t>
  </si>
  <si>
    <t>NP_150282.2|NP_005666.2</t>
  </si>
  <si>
    <t>ENSG00000128185|ENSG00000183628</t>
  </si>
  <si>
    <t>PH_hs_0029801</t>
  </si>
  <si>
    <t>PH_hs_0029822</t>
  </si>
  <si>
    <t>POLR2K</t>
  </si>
  <si>
    <t>NP_005025.1</t>
  </si>
  <si>
    <t>PH_hs_0029827</t>
  </si>
  <si>
    <t>COX6C</t>
  </si>
  <si>
    <t>Homo sapiens cytochrome c oxidase subunit VIc (COX6C)</t>
  </si>
  <si>
    <t>NP_004365.1</t>
  </si>
  <si>
    <t>PH_hs_0029828</t>
  </si>
  <si>
    <t>ZSWIM1</t>
  </si>
  <si>
    <t>NP_542170.3</t>
  </si>
  <si>
    <t>PH_hs_0029836</t>
  </si>
  <si>
    <t>THAP6</t>
  </si>
  <si>
    <t>Homo sapiens THAP domain containing 6 (THAP6)</t>
  </si>
  <si>
    <t>NP_653322.1</t>
  </si>
  <si>
    <t>SGMS2</t>
  </si>
  <si>
    <t>Homo sapiens sphingomyelin synthase 2 (SGMS2)</t>
  </si>
  <si>
    <t>PH_hs_0029857</t>
  </si>
  <si>
    <t>FUNDC2|FUNDC2P2</t>
  </si>
  <si>
    <t>Homo sapiens FUN14 domain containing 2 (FUNDC2)|Homo sapiens FUN14 domain containing 2 pseudogene 2 (FUNDC2P2)</t>
  </si>
  <si>
    <t>65991|388965</t>
  </si>
  <si>
    <t>NM_023934|NR_003663</t>
  </si>
  <si>
    <t>NP_076423.2|-</t>
  </si>
  <si>
    <t>PH_hs_0029872</t>
  </si>
  <si>
    <t>NUTF2</t>
  </si>
  <si>
    <t>Homo sapiens nuclear transport factor 2 (NUTF2)</t>
  </si>
  <si>
    <t>NP_005787.1</t>
  </si>
  <si>
    <t>FXN</t>
  </si>
  <si>
    <t>Homo sapiens frataxin (FXN)</t>
  </si>
  <si>
    <t>PH_hs_0029906</t>
  </si>
  <si>
    <t>UBE2V2</t>
  </si>
  <si>
    <t>Homo sapiens ubiquitin-conjugating enzyme E2 variant 2 (UBE2V2)</t>
  </si>
  <si>
    <t>NP_003341.1</t>
  </si>
  <si>
    <t>PH_hs_0029917</t>
  </si>
  <si>
    <t>CKS1B</t>
  </si>
  <si>
    <t>Homo sapiens CDC28 protein kinase regulatory subunit 1B (CKS1B)</t>
  </si>
  <si>
    <t>PH_hs_0029945</t>
  </si>
  <si>
    <t>RPS5</t>
  </si>
  <si>
    <t>Homo sapiens ribosomal protein S5 (RPS5)</t>
  </si>
  <si>
    <t>NP_001000.2</t>
  </si>
  <si>
    <t>PH_hs_0029969</t>
  </si>
  <si>
    <t>CEBPD</t>
  </si>
  <si>
    <t>NP_005186.2</t>
  </si>
  <si>
    <t>ENST00000408965</t>
  </si>
  <si>
    <t>ENSP00000386165</t>
  </si>
  <si>
    <t>RPL21|RPL21P28</t>
  </si>
  <si>
    <t>Homo sapiens ribosomal protein L21 (RPL21)|Homo sapiens ribosomal protein L21 pseudogene 28 (RPL21P28)</t>
  </si>
  <si>
    <t>6144|100131205</t>
  </si>
  <si>
    <t>NM_000982|NR_026911</t>
  </si>
  <si>
    <t>NP_000973.2|-</t>
  </si>
  <si>
    <t>PH_hs_0029971</t>
  </si>
  <si>
    <t>RPS14</t>
  </si>
  <si>
    <t>Homo sapiens ribosomal protein S14 (RPS14)</t>
  </si>
  <si>
    <t>NP_005608.1</t>
  </si>
  <si>
    <t>PH_hs_0029983</t>
  </si>
  <si>
    <t>GSTA5</t>
  </si>
  <si>
    <t>Homo sapiens glutathione S-transferase alpha 5 (GSTA5)</t>
  </si>
  <si>
    <t>NP_714543.1</t>
  </si>
  <si>
    <t>PH_hs_0029995</t>
  </si>
  <si>
    <t>RPS23</t>
  </si>
  <si>
    <t>Homo sapiens ribosomal protein S23 (RPS23)</t>
  </si>
  <si>
    <t>NP_001016.1</t>
  </si>
  <si>
    <t>PH_hs_0030018</t>
  </si>
  <si>
    <t>TXN</t>
  </si>
  <si>
    <t>Homo sapiens thioredoxin (TXN)</t>
  </si>
  <si>
    <t>PH_hs_0030024</t>
  </si>
  <si>
    <t>ZNF700</t>
  </si>
  <si>
    <t>Homo sapiens zinc finger protein 700 (ZNF700)</t>
  </si>
  <si>
    <t>PH_hs_0030065</t>
  </si>
  <si>
    <t>HIST1H2AJ</t>
  </si>
  <si>
    <t>NP_066544.1</t>
  </si>
  <si>
    <t>ENST00000333151</t>
  </si>
  <si>
    <t>ENSP00000328484</t>
  </si>
  <si>
    <t>PH_hs_0030077</t>
  </si>
  <si>
    <t>RPL36</t>
  </si>
  <si>
    <t>Homo sapiens ribosomal protein L36 (RPL36)</t>
  </si>
  <si>
    <t>PH_hs_0030081</t>
  </si>
  <si>
    <t>RPS6</t>
  </si>
  <si>
    <t>Homo sapiens ribosomal protein S6 (RPS6)</t>
  </si>
  <si>
    <t>NP_001001.2</t>
  </si>
  <si>
    <t>PH_hs_0030083</t>
  </si>
  <si>
    <t>FHIT</t>
  </si>
  <si>
    <t>Homo sapiens fragile histidine triad (FHIT)</t>
  </si>
  <si>
    <t>PH_hs_0030088</t>
  </si>
  <si>
    <t>RPL18</t>
  </si>
  <si>
    <t>Homo sapiens ribosomal protein L18 (RPL18)</t>
  </si>
  <si>
    <t>HLA-DRA</t>
  </si>
  <si>
    <t>NP_061984.2</t>
  </si>
  <si>
    <t>PH_hs_0030090</t>
  </si>
  <si>
    <t>CLIP1</t>
  </si>
  <si>
    <t>Homo sapiens CAP-GLY domain containing linker protein 1 (CLIP1)</t>
  </si>
  <si>
    <t>PH_hs_0030094</t>
  </si>
  <si>
    <t>LGALS3</t>
  </si>
  <si>
    <t>PH_hs_0030110</t>
  </si>
  <si>
    <t>S100A2</t>
  </si>
  <si>
    <t>Homo sapiens S100 calcium binding protein A2 (S100A2)</t>
  </si>
  <si>
    <t>NP_005969.1</t>
  </si>
  <si>
    <t>PH_hs_0030116</t>
  </si>
  <si>
    <t>NT5C3A</t>
  </si>
  <si>
    <t>LARP6</t>
  </si>
  <si>
    <t>PH_hs_0030129</t>
  </si>
  <si>
    <t>PNKD</t>
  </si>
  <si>
    <t>Homo sapiens paroxysmal nonkinesigenic dyskinesia (PNKD)</t>
  </si>
  <si>
    <t>PH_hs_0030141</t>
  </si>
  <si>
    <t>NUDT6</t>
  </si>
  <si>
    <t>PH_hs_0030146</t>
  </si>
  <si>
    <t>UBE2L6</t>
  </si>
  <si>
    <t>Homo sapiens ubiquitin-conjugating enzyme E2L 6 (UBE2L6)</t>
  </si>
  <si>
    <t>PH_hs_0030155</t>
  </si>
  <si>
    <t>COX7C</t>
  </si>
  <si>
    <t>Homo sapiens cytochrome c oxidase subunit VIIc (COX7C)</t>
  </si>
  <si>
    <t>NP_001858.1</t>
  </si>
  <si>
    <t>PRDX2</t>
  </si>
  <si>
    <t>Homo sapiens peroxiredoxin 2 (PRDX2)</t>
  </si>
  <si>
    <t>NP_005800.3</t>
  </si>
  <si>
    <t>PH_hs_0030161</t>
  </si>
  <si>
    <t>COX7B</t>
  </si>
  <si>
    <t>Homo sapiens cytochrome c oxidase subunit VIIb (COX7B)</t>
  </si>
  <si>
    <t>NP_001857.1</t>
  </si>
  <si>
    <t>ENSP00000417656</t>
  </si>
  <si>
    <t>PH_hs_0030167</t>
  </si>
  <si>
    <t>ACYP2</t>
  </si>
  <si>
    <t>NP_612457.1</t>
  </si>
  <si>
    <t>PH_hs_0030171</t>
  </si>
  <si>
    <t>HIGD2A</t>
  </si>
  <si>
    <t>NP_620175.1</t>
  </si>
  <si>
    <t>ENST00000274787</t>
  </si>
  <si>
    <t>ENSP00000274787</t>
  </si>
  <si>
    <t>PH_hs_0030172</t>
  </si>
  <si>
    <t>EBPL</t>
  </si>
  <si>
    <t>Homo sapiens emopamil binding protein-like (EBPL)</t>
  </si>
  <si>
    <t>NP_115954.1</t>
  </si>
  <si>
    <t>LAMTOR3</t>
  </si>
  <si>
    <t>PH_hs_0030178</t>
  </si>
  <si>
    <t>RPS17</t>
  </si>
  <si>
    <t>Homo sapiens ribosomal protein S17 (RPS17)</t>
  </si>
  <si>
    <t>NP_001012.1</t>
  </si>
  <si>
    <t>PH_hs_0030179</t>
  </si>
  <si>
    <t>NDUFB7</t>
  </si>
  <si>
    <t>NP_004137.2</t>
  </si>
  <si>
    <t>PH_hs_0030181</t>
  </si>
  <si>
    <t>RPS11</t>
  </si>
  <si>
    <t>Homo sapiens ribosomal protein S11 (RPS11)</t>
  </si>
  <si>
    <t>NP_001006.1</t>
  </si>
  <si>
    <t>PH_hs_0030187</t>
  </si>
  <si>
    <t>EIF5</t>
  </si>
  <si>
    <t>Homo sapiens eukaryotic translation initiation factor 5 (EIF5)</t>
  </si>
  <si>
    <t>PH_hs_0030194</t>
  </si>
  <si>
    <t>DDT</t>
  </si>
  <si>
    <t>Homo sapiens D-dopachrome tautomerase (DDT)</t>
  </si>
  <si>
    <t>ENST00000626871</t>
  </si>
  <si>
    <t>ENSP00000486829</t>
  </si>
  <si>
    <t>PH_hs_0030224</t>
  </si>
  <si>
    <t>LBR</t>
  </si>
  <si>
    <t>Homo sapiens lamin B receptor (LBR)</t>
  </si>
  <si>
    <t>PH_hs_0030230</t>
  </si>
  <si>
    <t>LEO1</t>
  </si>
  <si>
    <t>NP_620147.1</t>
  </si>
  <si>
    <t>NDC1</t>
  </si>
  <si>
    <t>Homo sapiens NDC1 transmembrane nucleoporin (NDC1)</t>
  </si>
  <si>
    <t>ENSP00000360483</t>
  </si>
  <si>
    <t>HAUS1</t>
  </si>
  <si>
    <t>PH_hs_0030244</t>
  </si>
  <si>
    <t>SNRPG</t>
  </si>
  <si>
    <t>Homo sapiens small nuclear ribonucleoprotein polypeptide G (SNRPG)</t>
  </si>
  <si>
    <t>NP_003087.1</t>
  </si>
  <si>
    <t>PH_hs_0030250</t>
  </si>
  <si>
    <t>RPLP2</t>
  </si>
  <si>
    <t>NP_000995.1</t>
  </si>
  <si>
    <t>PH_hs_0030261</t>
  </si>
  <si>
    <t>DPP8</t>
  </si>
  <si>
    <t>Homo sapiens dipeptidyl-peptidase 8 (DPP8)</t>
  </si>
  <si>
    <t>PH_hs_0030264</t>
  </si>
  <si>
    <t>ARPC3</t>
  </si>
  <si>
    <t>DCP2</t>
  </si>
  <si>
    <t>Homo sapiens decapping mRNA 2 (DCP2)</t>
  </si>
  <si>
    <t>PH_hs_0030303</t>
  </si>
  <si>
    <t>TLK2</t>
  </si>
  <si>
    <t>Homo sapiens tousled-like kinase 2 (TLK2)</t>
  </si>
  <si>
    <t>NP_006843.2</t>
  </si>
  <si>
    <t>PH_hs_0030307</t>
  </si>
  <si>
    <t>OLR1</t>
  </si>
  <si>
    <t>Homo sapiens oxidized low density lipoprotein (lectin-like)</t>
  </si>
  <si>
    <t>PH_hs_0030319</t>
  </si>
  <si>
    <t>RPL14</t>
  </si>
  <si>
    <t>Homo sapiens ribosomal protein L14 (RPL14)</t>
  </si>
  <si>
    <t>PH_hs_0030325</t>
  </si>
  <si>
    <t>RPS13</t>
  </si>
  <si>
    <t>Homo sapiens ribosomal protein S13 (RPS13)</t>
  </si>
  <si>
    <t>NP_001008.1</t>
  </si>
  <si>
    <t>PH_hs_0030426</t>
  </si>
  <si>
    <t>RPL36A</t>
  </si>
  <si>
    <t>Homo sapiens ribosomal protein L36a (RPL36A)</t>
  </si>
  <si>
    <t>NP_066357.2</t>
  </si>
  <si>
    <t>PH_hs_0030495</t>
  </si>
  <si>
    <t>NBPF3|NBPF15|NBPF11</t>
  </si>
  <si>
    <t>84224|284565|200030</t>
  </si>
  <si>
    <t>ENSG00000142794|ENSG00000266338|ENSG00000263956</t>
  </si>
  <si>
    <t>PH_hs_0030503</t>
  </si>
  <si>
    <t>RPL5</t>
  </si>
  <si>
    <t>Homo sapiens ribosomal protein L5 (RPL5)</t>
  </si>
  <si>
    <t>NP_000960.2</t>
  </si>
  <si>
    <t>PH_hs_0030531</t>
  </si>
  <si>
    <t>ZNF136</t>
  </si>
  <si>
    <t>Homo sapiens zinc finger protein 136 (ZNF136)</t>
  </si>
  <si>
    <t>NP_003428.1</t>
  </si>
  <si>
    <t>PH_hs_0030555</t>
  </si>
  <si>
    <t>TMSB4X</t>
  </si>
  <si>
    <t>NP_066932.1</t>
  </si>
  <si>
    <t>PH_hs_0030583</t>
  </si>
  <si>
    <t>TAF1A</t>
  </si>
  <si>
    <t>PH_hs_0030626</t>
  </si>
  <si>
    <t>ZNF684</t>
  </si>
  <si>
    <t>Homo sapiens zinc finger protein 684 (ZNF684)</t>
  </si>
  <si>
    <t>NP_689586.3</t>
  </si>
  <si>
    <t>PH_hs_0030648</t>
  </si>
  <si>
    <t>D2HGDH</t>
  </si>
  <si>
    <t>Homo sapiens D-2-hydroxyglutarate dehydrogenase (D2HGDH)</t>
  </si>
  <si>
    <t>NP_689996.4</t>
  </si>
  <si>
    <t>NME2|NME1-NME2</t>
  </si>
  <si>
    <t>Homo sapiens NME/NM23 nucleoside diphosphate kinase 2 (NME2)|Homo sapiens NME1-NME2 readthrough (NME1-NME2)</t>
  </si>
  <si>
    <t>4831|654364</t>
  </si>
  <si>
    <t>ENSG00000243678|ENSG00000011052</t>
  </si>
  <si>
    <t>PH_hs_0030672</t>
  </si>
  <si>
    <t>HSP90B1|HSP90B2P</t>
  </si>
  <si>
    <t>Homo sapiens heat shock protein 90kDa beta (Grp94)|Homo sapiens heat shock protein 90kDa beta (Grp94)</t>
  </si>
  <si>
    <t>7184|7190</t>
  </si>
  <si>
    <t>NM_003299|NR_073383</t>
  </si>
  <si>
    <t>NP_003290.1|-</t>
  </si>
  <si>
    <t>PH_hs_0030708</t>
  </si>
  <si>
    <t>CLDN12</t>
  </si>
  <si>
    <t>Homo sapiens claudin 12 (CLDN12)</t>
  </si>
  <si>
    <t>PH_hs_0030744</t>
  </si>
  <si>
    <t>SSC4D</t>
  </si>
  <si>
    <t>NP_542782.1</t>
  </si>
  <si>
    <t>ENSP00000275560</t>
  </si>
  <si>
    <t>PH_hs_0030833</t>
  </si>
  <si>
    <t>PELI3</t>
  </si>
  <si>
    <t>Homo sapiens pellino E3 ubiquitin protein ligase family member 3 (PELI3)</t>
  </si>
  <si>
    <t>PH_hs_0030836</t>
  </si>
  <si>
    <t>HOXB4</t>
  </si>
  <si>
    <t>Homo sapiens homeobox B4 (HOXB4)</t>
  </si>
  <si>
    <t>NP_076920.1</t>
  </si>
  <si>
    <t>ENST00000332503</t>
  </si>
  <si>
    <t>ENSP00000328928</t>
  </si>
  <si>
    <t>RCC1</t>
  </si>
  <si>
    <t>Homo sapiens regulator of chromosome condensation 1 (RCC1)</t>
  </si>
  <si>
    <t>ARF6</t>
  </si>
  <si>
    <t>Homo sapiens ADP-ribosylation factor 6 (ARF6)</t>
  </si>
  <si>
    <t>NP_001654.1</t>
  </si>
  <si>
    <t>ENST00000298316</t>
  </si>
  <si>
    <t>ENSP00000298316</t>
  </si>
  <si>
    <t>MYH2</t>
  </si>
  <si>
    <t>PH_hs_0030876</t>
  </si>
  <si>
    <t>PH_hs_0030912</t>
  </si>
  <si>
    <t>AIF1L</t>
  </si>
  <si>
    <t>Homo sapiens allograft inflammatory factor 1-like (AIF1L)</t>
  </si>
  <si>
    <t>PH_hs_0030917</t>
  </si>
  <si>
    <t>PH_hs_0030918</t>
  </si>
  <si>
    <t>PH_hs_0030921</t>
  </si>
  <si>
    <t>RAB6A|WTH3DI</t>
  </si>
  <si>
    <t>5870|150786</t>
  </si>
  <si>
    <t>ENSG00000175582|ENSG00000222014</t>
  </si>
  <si>
    <t>PH_hs_0030926</t>
  </si>
  <si>
    <t>CHST15</t>
  </si>
  <si>
    <t>Homo sapiens carbohydrate (N-acetylgalactosamine 4-sulfate 6-O)</t>
  </si>
  <si>
    <t>PH_hs_0030966</t>
  </si>
  <si>
    <t>ADAMTS1</t>
  </si>
  <si>
    <t>NP_008919.3</t>
  </si>
  <si>
    <t>PH_hs_0030975</t>
  </si>
  <si>
    <t>PDCD6IP</t>
  </si>
  <si>
    <t>Homo sapiens programmed cell death 6 interacting protein (PDCD6IP)</t>
  </si>
  <si>
    <t>PH_hs_0030979</t>
  </si>
  <si>
    <t>PH_hs_0030989</t>
  </si>
  <si>
    <t>PH_hs_0030999</t>
  </si>
  <si>
    <t>PTRH2</t>
  </si>
  <si>
    <t>Homo sapiens peptidyl-tRNA hydrolase 2 (PTRH2)</t>
  </si>
  <si>
    <t>NP_057161.1</t>
  </si>
  <si>
    <t>PH_hs_0031003</t>
  </si>
  <si>
    <t>PH_hs_0031007</t>
  </si>
  <si>
    <t>PH_hs_0031015</t>
  </si>
  <si>
    <t>PALMD</t>
  </si>
  <si>
    <t>Homo sapiens palmdelphin (PALMD)</t>
  </si>
  <si>
    <t>NP_060204.1</t>
  </si>
  <si>
    <t>PH_hs_0031022</t>
  </si>
  <si>
    <t>SNRNP25</t>
  </si>
  <si>
    <t>Homo sapiens small nuclear ribonucleoprotein 25kDa (U11/U12)</t>
  </si>
  <si>
    <t>NP_078847.1</t>
  </si>
  <si>
    <t>PH_hs_0031024</t>
  </si>
  <si>
    <t>FILIP1L</t>
  </si>
  <si>
    <t>Homo sapiens filamin A interacting protein 1-like (FILIP1L)</t>
  </si>
  <si>
    <t>PH_hs_0031026</t>
  </si>
  <si>
    <t>RPP25L</t>
  </si>
  <si>
    <t>Homo sapiens ribonuclease P/MRP 25kDa subunit-like (RPP25L)</t>
  </si>
  <si>
    <t>PH_hs_0031031</t>
  </si>
  <si>
    <t>ZNF462</t>
  </si>
  <si>
    <t>Homo sapiens zinc finger protein 462 (ZNF462)</t>
  </si>
  <si>
    <t>NP_067047.4</t>
  </si>
  <si>
    <t>PH_hs_0031039</t>
  </si>
  <si>
    <t>PH_hs_0031043</t>
  </si>
  <si>
    <t>PH_hs_0031053</t>
  </si>
  <si>
    <t>INPP5J</t>
  </si>
  <si>
    <t>Homo sapiens inositol polyphosphate-5-phosphatase J (INPP5J)</t>
  </si>
  <si>
    <t>NP_001002837.1</t>
  </si>
  <si>
    <t>PH_hs_0031081</t>
  </si>
  <si>
    <t>LIN28B</t>
  </si>
  <si>
    <t>Homo sapiens lin-28 homolog B (C. elegans)</t>
  </si>
  <si>
    <t>NP_001004317.1</t>
  </si>
  <si>
    <t>ENST00000345080</t>
  </si>
  <si>
    <t>ENSP00000344401</t>
  </si>
  <si>
    <t>PH_hs_0031096</t>
  </si>
  <si>
    <t>LRRC75A</t>
  </si>
  <si>
    <t>Homo sapiens leucine rich repeat containing 75A (LRRC75A)</t>
  </si>
  <si>
    <t>PH_hs_0031099</t>
  </si>
  <si>
    <t>EMILIN3</t>
  </si>
  <si>
    <t>Homo sapiens elastin microfibril interfacer 3 (EMILIN3)</t>
  </si>
  <si>
    <t>NP_443078.1</t>
  </si>
  <si>
    <t>ENST00000332312</t>
  </si>
  <si>
    <t>ENSP00000332806</t>
  </si>
  <si>
    <t>PH_hs_0031116</t>
  </si>
  <si>
    <t>PH_hs_0031121</t>
  </si>
  <si>
    <t>PH_hs_0031137</t>
  </si>
  <si>
    <t>COA4</t>
  </si>
  <si>
    <t>Homo sapiens cytochrome c oxidase assembly factor 4 homolog (S. cerevisiae)</t>
  </si>
  <si>
    <t>NP_057649.2</t>
  </si>
  <si>
    <t>PH_hs_0031138</t>
  </si>
  <si>
    <t>PH_hs_0031149</t>
  </si>
  <si>
    <t>ENSG00000108469</t>
  </si>
  <si>
    <t>PH_hs_0031157</t>
  </si>
  <si>
    <t>PH_hs_0031178</t>
  </si>
  <si>
    <t>HS3ST1</t>
  </si>
  <si>
    <t>NP_005105.1</t>
  </si>
  <si>
    <t>PH_hs_0031185</t>
  </si>
  <si>
    <t>ATF6B</t>
  </si>
  <si>
    <t>Homo sapiens activating transcription factor 6 beta (ATF6B)</t>
  </si>
  <si>
    <t>PH_hs_0031188</t>
  </si>
  <si>
    <t>TRAPPC8</t>
  </si>
  <si>
    <t>Homo sapiens trafficking protein particle complex 8 (TRAPPC8)</t>
  </si>
  <si>
    <t>NP_055754.2</t>
  </si>
  <si>
    <t>PH_hs_0031191</t>
  </si>
  <si>
    <t>PH_hs_0031192</t>
  </si>
  <si>
    <t>PH_hs_0031199</t>
  </si>
  <si>
    <t>PH_hs_0031202</t>
  </si>
  <si>
    <t>ZFP91</t>
  </si>
  <si>
    <t>Homo sapiens ZFP91 zinc finger protein (ZFP91)</t>
  </si>
  <si>
    <t>ENST00000316059</t>
  </si>
  <si>
    <t>ENSP00000339030</t>
  </si>
  <si>
    <t>PH_hs_0031204</t>
  </si>
  <si>
    <t>PH_hs_0031215</t>
  </si>
  <si>
    <t>PDE6D</t>
  </si>
  <si>
    <t>NP_002592.1</t>
  </si>
  <si>
    <t>PH_hs_0031220</t>
  </si>
  <si>
    <t>PH_hs_0031257</t>
  </si>
  <si>
    <t>PH_hs_0031263</t>
  </si>
  <si>
    <t>URB1-AS1</t>
  </si>
  <si>
    <t>Homo sapiens URB1 antisense RNA 1 (head to head)</t>
  </si>
  <si>
    <t>ENST00000534991</t>
  </si>
  <si>
    <t>PH_hs_0031288</t>
  </si>
  <si>
    <t>PH_hs_0031292</t>
  </si>
  <si>
    <t>BMP4</t>
  </si>
  <si>
    <t>Homo sapiens bone morphogenetic protein 4 (BMP4)</t>
  </si>
  <si>
    <t>PH_hs_0031294</t>
  </si>
  <si>
    <t>HIST1H3H</t>
  </si>
  <si>
    <t>NP_003527.1</t>
  </si>
  <si>
    <t>ENST00000369163</t>
  </si>
  <si>
    <t>ENSP00000358160</t>
  </si>
  <si>
    <t>PH_hs_0031296</t>
  </si>
  <si>
    <t>HIC1</t>
  </si>
  <si>
    <t>Homo sapiens hypermethylated in cancer 1 (HIC1)</t>
  </si>
  <si>
    <t>Homo sapiens heat shock protein 90kDa alpha (cytosolic)</t>
  </si>
  <si>
    <t>PH_hs_0031309</t>
  </si>
  <si>
    <t>PH_hs_0031335</t>
  </si>
  <si>
    <t>PH_hs_0031365</t>
  </si>
  <si>
    <t>RGS10</t>
  </si>
  <si>
    <t>Homo sapiens regulator of G-protein signaling 10 (RGS10)</t>
  </si>
  <si>
    <t>PH_hs_0031375</t>
  </si>
  <si>
    <t>NFYB</t>
  </si>
  <si>
    <t>NP_006157.1</t>
  </si>
  <si>
    <t>ATP5G2</t>
  </si>
  <si>
    <t>PH_hs_0031398</t>
  </si>
  <si>
    <t>PH_hs_0031400</t>
  </si>
  <si>
    <t>FMR1</t>
  </si>
  <si>
    <t>Homo sapiens fragile X mental retardation 1 (FMR1)</t>
  </si>
  <si>
    <t>PH_hs_0031413</t>
  </si>
  <si>
    <t>KAT6A</t>
  </si>
  <si>
    <t>NP_006757.2</t>
  </si>
  <si>
    <t>PH_hs_0031427</t>
  </si>
  <si>
    <t>PH_hs_0031435</t>
  </si>
  <si>
    <t>DPP10-AS1</t>
  </si>
  <si>
    <t>Homo sapiens DPP10 antisense RNA 1 (DPP10-AS1)</t>
  </si>
  <si>
    <t>PH_hs_0031459</t>
  </si>
  <si>
    <t>COX7B2</t>
  </si>
  <si>
    <t>Homo sapiens cytochrome c oxidase subunit VIIb2 (COX7B2)</t>
  </si>
  <si>
    <t>NP_570972.2</t>
  </si>
  <si>
    <t>PH_hs_0031476</t>
  </si>
  <si>
    <t>KRT8</t>
  </si>
  <si>
    <t>PH_hs_0031490</t>
  </si>
  <si>
    <t>LOC728392</t>
  </si>
  <si>
    <t>Homo sapiens uncharacterized LOC728392 (LOC728392)</t>
  </si>
  <si>
    <t>NP_001155843.1</t>
  </si>
  <si>
    <t>PH_hs_0031517</t>
  </si>
  <si>
    <t>TMEM30A</t>
  </si>
  <si>
    <t>Homo sapiens transmembrane protein 30A (TMEM30A)</t>
  </si>
  <si>
    <t>PH_hs_0031518</t>
  </si>
  <si>
    <t>WHSC1</t>
  </si>
  <si>
    <t>Homo sapiens Wolf-Hirschhorn syndrome candidate 1 (WHSC1)</t>
  </si>
  <si>
    <t>ESRRA</t>
  </si>
  <si>
    <t>Homo sapiens estrogen-related receptor alpha (ESRRA)</t>
  </si>
  <si>
    <t>NP_004442.3</t>
  </si>
  <si>
    <t>PH_hs_0031530</t>
  </si>
  <si>
    <t>PH_hs_0031531</t>
  </si>
  <si>
    <t>SWI5</t>
  </si>
  <si>
    <t>Homo sapiens SWI5 recombination repair homolog (yeast)</t>
  </si>
  <si>
    <t>NP_001035100.1</t>
  </si>
  <si>
    <t>PH_hs_0031572</t>
  </si>
  <si>
    <t>KCNG1</t>
  </si>
  <si>
    <t>NP_002228.2</t>
  </si>
  <si>
    <t>PH_hs_0031600</t>
  </si>
  <si>
    <t>SPAG4</t>
  </si>
  <si>
    <t>Homo sapiens sperm associated antigen 4 (SPAG4)</t>
  </si>
  <si>
    <t>NP_003107.1</t>
  </si>
  <si>
    <t>PH_hs_0031616</t>
  </si>
  <si>
    <t>3-Mar</t>
  </si>
  <si>
    <t>NP_848545.1</t>
  </si>
  <si>
    <t>PH_hs_0031637</t>
  </si>
  <si>
    <t>VPS37D</t>
  </si>
  <si>
    <t>Homo sapiens vacuolar protein sorting 37 homolog D (S. cerevisiae)</t>
  </si>
  <si>
    <t>NP_001071089.1</t>
  </si>
  <si>
    <t>PH_hs_0031645</t>
  </si>
  <si>
    <t>PH_hs_0031676</t>
  </si>
  <si>
    <t>CCT8L2</t>
  </si>
  <si>
    <t>NP_055221.1</t>
  </si>
  <si>
    <t>ENST00000359963</t>
  </si>
  <si>
    <t>ENSP00000353048</t>
  </si>
  <si>
    <t>PH_hs_0031687</t>
  </si>
  <si>
    <t>ERN1</t>
  </si>
  <si>
    <t>Homo sapiens endoplasmic reticulum to nucleus signaling 1 (ERN1)</t>
  </si>
  <si>
    <t>NP_001424.3</t>
  </si>
  <si>
    <t>PH_hs_0031703</t>
  </si>
  <si>
    <t>LUC7L3</t>
  </si>
  <si>
    <t>Homo sapiens LUC7-like 3 (S. cerevisiae)</t>
  </si>
  <si>
    <t>NP_057508.2</t>
  </si>
  <si>
    <t>PH_hs_0031706</t>
  </si>
  <si>
    <t>DLGAP1</t>
  </si>
  <si>
    <t>PH_hs_0031733</t>
  </si>
  <si>
    <t>ZNF880</t>
  </si>
  <si>
    <t>Homo sapiens zinc finger protein 880 (ZNF880)</t>
  </si>
  <si>
    <t>NP_001138906.1</t>
  </si>
  <si>
    <t>PH_hs_0031738</t>
  </si>
  <si>
    <t>LOC388780</t>
  </si>
  <si>
    <t>PREDICTED: Homo sapiens uncharacterized LOC388780 (LOC388780)</t>
  </si>
  <si>
    <t>PH_hs_0031757</t>
  </si>
  <si>
    <t>ZNF358</t>
  </si>
  <si>
    <t>Homo sapiens zinc finger protein 358 (ZNF358)</t>
  </si>
  <si>
    <t>NP_060553.4</t>
  </si>
  <si>
    <t>CTSB</t>
  </si>
  <si>
    <t>Homo sapiens cathepsin B (CTSB)</t>
  </si>
  <si>
    <t>PH_hs_0031776</t>
  </si>
  <si>
    <t>KIAA1211L</t>
  </si>
  <si>
    <t>Homo sapiens KIAA1211-like (KIAA1211L)</t>
  </si>
  <si>
    <t>NP_997245.2</t>
  </si>
  <si>
    <t>PH_hs_0031779</t>
  </si>
  <si>
    <t>HIST1H2BL|HIST1H2BC|HIST1H2BI|HIST1H2BD|HIST1H2BN|HIST1H2BE|HIST1H2BF|HIST1H2BH|HIST1H2BK|HIST1H2BM|HIST3H2BB|ABCF2|HIST1H2BO|HIST1H2BJ</t>
  </si>
  <si>
    <t>8340|8347|8346|3017|8341|8344|8343|8345|85236|8342|128312|10061|8348|8970</t>
  </si>
  <si>
    <t>ENSG00000185130|ENSG00000180596|ENSG00000278588|ENSG00000158373|ENSG00000233822|ENSG00000274290|ENSG00000277224|ENSG00000275713|ENSG00000197903|ENSG00000273703|ENSG00000196890|ENSG00000033050|ENSG00000274641|ENSG00000124635</t>
  </si>
  <si>
    <t>PH_hs_0031785</t>
  </si>
  <si>
    <t>PLIN3</t>
  </si>
  <si>
    <t>Homo sapiens perilipin 3 (PLIN3)</t>
  </si>
  <si>
    <t>PH_hs_0031797</t>
  </si>
  <si>
    <t>TSTD3</t>
  </si>
  <si>
    <t>NP_001182060.1</t>
  </si>
  <si>
    <t>PH_hs_0031801</t>
  </si>
  <si>
    <t>PH_hs_0031804</t>
  </si>
  <si>
    <t>ASCC3</t>
  </si>
  <si>
    <t>Homo sapiens activating signal cointegrator 1 complex subunit 3 (ASCC3)</t>
  </si>
  <si>
    <t>NP_006819.2</t>
  </si>
  <si>
    <t>PH_hs_0031817</t>
  </si>
  <si>
    <t>PH_hs_0031856</t>
  </si>
  <si>
    <t>MLYCD</t>
  </si>
  <si>
    <t>Homo sapiens malonyl-CoA decarboxylase (MLYCD)</t>
  </si>
  <si>
    <t>NP_036345.2</t>
  </si>
  <si>
    <t>ENSP00000262430</t>
  </si>
  <si>
    <t>PH_hs_0031890</t>
  </si>
  <si>
    <t>FUOM</t>
  </si>
  <si>
    <t>Homo sapiens fucose mutarotase (FUOM)</t>
  </si>
  <si>
    <t>PH_hs_0031912</t>
  </si>
  <si>
    <t>AMD1</t>
  </si>
  <si>
    <t>Homo sapiens adenosylmethionine decarboxylase 1 (AMD1)</t>
  </si>
  <si>
    <t>NP_001625.2</t>
  </si>
  <si>
    <t>PH_hs_0031943</t>
  </si>
  <si>
    <t>DCAF16</t>
  </si>
  <si>
    <t>Homo sapiens DDB1 and CUL4 associated factor 16 (DCAF16)</t>
  </si>
  <si>
    <t>NP_060211.3</t>
  </si>
  <si>
    <t>ENSP00000371682</t>
  </si>
  <si>
    <t>PH_hs_0031945</t>
  </si>
  <si>
    <t>MGMT</t>
  </si>
  <si>
    <t>Homo sapiens O-6-methylguanine-DNA methyltransferase (MGMT)</t>
  </si>
  <si>
    <t>NP_002403.2</t>
  </si>
  <si>
    <t>ENSP00000302111</t>
  </si>
  <si>
    <t>PH_hs_0031958</t>
  </si>
  <si>
    <t>GUSBP3</t>
  </si>
  <si>
    <t>PH_hs_0031959</t>
  </si>
  <si>
    <t>PH_hs_0031990</t>
  </si>
  <si>
    <t>PH_hs_0031994</t>
  </si>
  <si>
    <t>ZNF680</t>
  </si>
  <si>
    <t>Homo sapiens zinc finger protein 680 (ZNF680)</t>
  </si>
  <si>
    <t>PH_hs_0032026</t>
  </si>
  <si>
    <t>BTAF1</t>
  </si>
  <si>
    <t>NP_003963.1</t>
  </si>
  <si>
    <t>PH_hs_0032031</t>
  </si>
  <si>
    <t>GABPB1</t>
  </si>
  <si>
    <t>ENST00000359031</t>
  </si>
  <si>
    <t>ENSP00000351923</t>
  </si>
  <si>
    <t>PH_hs_0032040</t>
  </si>
  <si>
    <t>HIST1H2BM|HIST1H2BD|HIST1H2BN|HIST1H2BJ|HIST1H2BO|HIST1H2BC|HIST1H2BE|HIST1H2BK|HIST1H2BL|HIST1H2BI|HIST2H2BF|HIST2H2BA|HIST2H2BC</t>
  </si>
  <si>
    <t>8342|3017|8341|8970|8348|8347|8344|85236|8340|8346|440689|337875|337873</t>
  </si>
  <si>
    <t>ENSG00000273703|ENSG00000158373|ENSG00000233822|ENSG00000124635|ENSG00000274641|ENSG00000180596|ENSG00000274290|ENSG00000197903|ENSG00000185130|ENSG00000278588|ENSG00000203814|ENSG00000203819</t>
  </si>
  <si>
    <t>PH_hs_0032043</t>
  </si>
  <si>
    <t>GOLGA8A|GOLGA8B|GOLGA8F</t>
  </si>
  <si>
    <t>23015|440270|100132565</t>
  </si>
  <si>
    <t>ENSG00000175265|ENSG00000215252</t>
  </si>
  <si>
    <t>EIF4G2</t>
  </si>
  <si>
    <t>PH_hs_0032052</t>
  </si>
  <si>
    <t>PPY</t>
  </si>
  <si>
    <t>Homo sapiens pancreatic polypeptide (PPY)</t>
  </si>
  <si>
    <t>NP_002713.1</t>
  </si>
  <si>
    <t>PH_hs_0032057</t>
  </si>
  <si>
    <t>PH_hs_0032058</t>
  </si>
  <si>
    <t>SPOPL</t>
  </si>
  <si>
    <t>Homo sapiens speckle-type POZ protein-like (SPOPL)</t>
  </si>
  <si>
    <t>NP_001001664.1</t>
  </si>
  <si>
    <t>ENSG00000170074|ENSG00000182230</t>
  </si>
  <si>
    <t>PH_hs_0032075</t>
  </si>
  <si>
    <t>ZNF182</t>
  </si>
  <si>
    <t>Homo sapiens zinc finger protein 182 (ZNF182)</t>
  </si>
  <si>
    <t>PH_hs_0032087</t>
  </si>
  <si>
    <t>PH_hs_0032088</t>
  </si>
  <si>
    <t>TAF4B</t>
  </si>
  <si>
    <t>NP_005631.1</t>
  </si>
  <si>
    <t>PH_hs_0032106</t>
  </si>
  <si>
    <t>VPS13D</t>
  </si>
  <si>
    <t>Homo sapiens vacuolar protein sorting 13 homolog D (S. cerevisiae)</t>
  </si>
  <si>
    <t>PH_hs_0032123</t>
  </si>
  <si>
    <t>HOTAIR</t>
  </si>
  <si>
    <t>Homo sapiens HOX transcript antisense RNA (HOTAIR)</t>
  </si>
  <si>
    <t>PH_hs_0032124</t>
  </si>
  <si>
    <t>IVNS1ABP</t>
  </si>
  <si>
    <t>Homo sapiens influenza virus NS1A binding protein (IVNS1ABP)</t>
  </si>
  <si>
    <t>NP_006460.2</t>
  </si>
  <si>
    <t>PH_hs_0032127</t>
  </si>
  <si>
    <t>PH_hs_0032130</t>
  </si>
  <si>
    <t>PEG3</t>
  </si>
  <si>
    <t>Homo sapiens paternally expressed 3 (PEG3)</t>
  </si>
  <si>
    <t>PH_hs_0032196</t>
  </si>
  <si>
    <t>WHAMMP3|WHAMMP2</t>
  </si>
  <si>
    <t>339005|440253</t>
  </si>
  <si>
    <t>NR_003521|NR_026589</t>
  </si>
  <si>
    <t>RASGRF1</t>
  </si>
  <si>
    <t>Homo sapiens Ras protein-specific guanine nucleotide-releasing factor 1 (RASGRF1)</t>
  </si>
  <si>
    <t>POLR1D</t>
  </si>
  <si>
    <t>PH_hs_0032217</t>
  </si>
  <si>
    <t>CD164L2</t>
  </si>
  <si>
    <t>Homo sapiens CD164 sialomucin-like 2 (CD164L2)</t>
  </si>
  <si>
    <t>NP_997280.2</t>
  </si>
  <si>
    <t>PH_hs_0032279</t>
  </si>
  <si>
    <t>ARL4A</t>
  </si>
  <si>
    <t>Homo sapiens ADP-ribosylation factor-like 4A (ARL4A)</t>
  </si>
  <si>
    <t>PH_hs_0032289</t>
  </si>
  <si>
    <t>APOM</t>
  </si>
  <si>
    <t>Homo sapiens apolipoprotein M (APOM)</t>
  </si>
  <si>
    <t>PH_hs_0032290</t>
  </si>
  <si>
    <t>PH_hs_0032305</t>
  </si>
  <si>
    <t>PMCHL1</t>
  </si>
  <si>
    <t>PH_hs_0032333</t>
  </si>
  <si>
    <t>PH_hs_0032334</t>
  </si>
  <si>
    <t>FREM2</t>
  </si>
  <si>
    <t>Homo sapiens FRAS1 related extracellular matrix protein 2 (FREM2)</t>
  </si>
  <si>
    <t>NP_997244.4</t>
  </si>
  <si>
    <t>ENSP00000280481</t>
  </si>
  <si>
    <t>PH_hs_0032342</t>
  </si>
  <si>
    <t>PH_hs_0032358</t>
  </si>
  <si>
    <t>ERCC5|BIVM-ERCC5</t>
  </si>
  <si>
    <t>Homo sapiens excision repair cross-complementation group 5 (ERCC5)|Homo sapiens BIVM-ERCC5 readthrough (BIVM-ERCC5)</t>
  </si>
  <si>
    <t>2073|100533467</t>
  </si>
  <si>
    <t>NM_000123|NM_001204425</t>
  </si>
  <si>
    <t>NP_000114.2|NP_001191354.1</t>
  </si>
  <si>
    <t>PH_hs_0032365</t>
  </si>
  <si>
    <t>CLPSL2</t>
  </si>
  <si>
    <t>Homo sapiens colipase-like 2 (CLPSL2)</t>
  </si>
  <si>
    <t>NP_997292.2</t>
  </si>
  <si>
    <t>PH_hs_0032387</t>
  </si>
  <si>
    <t>FAM19A2</t>
  </si>
  <si>
    <t>NP_848634.1</t>
  </si>
  <si>
    <t>PH_hs_0032388</t>
  </si>
  <si>
    <t>REP15</t>
  </si>
  <si>
    <t>Homo sapiens RAB15 effector protein (REP15)</t>
  </si>
  <si>
    <t>NP_001025045.1</t>
  </si>
  <si>
    <t>ENST00000310791</t>
  </si>
  <si>
    <t>ENSP00000310335</t>
  </si>
  <si>
    <t>PH_hs_0032391</t>
  </si>
  <si>
    <t>CIB4</t>
  </si>
  <si>
    <t>Homo sapiens calcium and integrin binding family member 4 (CIB4)</t>
  </si>
  <si>
    <t>NP_001025052.1</t>
  </si>
  <si>
    <t>ENSP00000288861</t>
  </si>
  <si>
    <t>PH_hs_0032410</t>
  </si>
  <si>
    <t>AMBN</t>
  </si>
  <si>
    <t>Homo sapiens ameloblastin (enamel matrix protein)</t>
  </si>
  <si>
    <t>NP_057603.1</t>
  </si>
  <si>
    <t>PH_hs_0032435</t>
  </si>
  <si>
    <t>ZNF37BP|ZNF37A</t>
  </si>
  <si>
    <t>100129482|7587</t>
  </si>
  <si>
    <t>ENSG00000234420|ENSG00000075407</t>
  </si>
  <si>
    <t>PH_hs_0032440</t>
  </si>
  <si>
    <t>TMED7</t>
  </si>
  <si>
    <t>Homo sapiens transmembrane emp24 protein transport domain containing 7 (TMED7)</t>
  </si>
  <si>
    <t>NP_861974.1</t>
  </si>
  <si>
    <t>PH_hs_0032456</t>
  </si>
  <si>
    <t>NDUFA13</t>
  </si>
  <si>
    <t>NP_057049.5</t>
  </si>
  <si>
    <t>PH_hs_0032465</t>
  </si>
  <si>
    <t>PH_hs_0032483</t>
  </si>
  <si>
    <t>LINC00028</t>
  </si>
  <si>
    <t>Homo sapiens long intergenic non-protein coding RNA 28 (LINC00028)</t>
  </si>
  <si>
    <t>ENST00000435497</t>
  </si>
  <si>
    <t>PH_hs_0032486</t>
  </si>
  <si>
    <t>CDV3</t>
  </si>
  <si>
    <t>Homo sapiens CDV3 homolog (mouse)</t>
  </si>
  <si>
    <t>PH_hs_0032489</t>
  </si>
  <si>
    <t>RNASE4</t>
  </si>
  <si>
    <t>PH_hs_0032493</t>
  </si>
  <si>
    <t>GNG8</t>
  </si>
  <si>
    <t>NP_150283.1</t>
  </si>
  <si>
    <t>ENST00000300873</t>
  </si>
  <si>
    <t>ENSP00000300873</t>
  </si>
  <si>
    <t>PH_hs_0032496</t>
  </si>
  <si>
    <t>SMAD3</t>
  </si>
  <si>
    <t>Homo sapiens SMAD family member 3 (SMAD3)</t>
  </si>
  <si>
    <t>PH_hs_0032515</t>
  </si>
  <si>
    <t>FAR1</t>
  </si>
  <si>
    <t>Homo sapiens fatty acyl CoA reductase 1 (FAR1)</t>
  </si>
  <si>
    <t>NP_115604.1</t>
  </si>
  <si>
    <t>PH_hs_0032542</t>
  </si>
  <si>
    <t>ZNF655</t>
  </si>
  <si>
    <t>Homo sapiens zinc finger protein 655 (ZNF655)</t>
  </si>
  <si>
    <t>PH_hs_0032555</t>
  </si>
  <si>
    <t>RIIAD1</t>
  </si>
  <si>
    <t>Homo sapiens regulatory subunit of type II PKA R-subunit (RIIa)</t>
  </si>
  <si>
    <t>NP_001138428.1</t>
  </si>
  <si>
    <t>KMT2C</t>
  </si>
  <si>
    <t>NP_733751.2</t>
  </si>
  <si>
    <t>DCDC2C</t>
  </si>
  <si>
    <t>PREDICTED: Homo sapiens doublecortin domain containing 2C (DCDC2C)</t>
  </si>
  <si>
    <t>ENST00000615764</t>
  </si>
  <si>
    <t>ENSP00000478015</t>
  </si>
  <si>
    <t>PH_hs_0032597</t>
  </si>
  <si>
    <t>SBNO1</t>
  </si>
  <si>
    <t>Homo sapiens strawberry notch homolog 1 (Drosophila)</t>
  </si>
  <si>
    <t>IPO8</t>
  </si>
  <si>
    <t>Homo sapiens importin 8 (IPO8)</t>
  </si>
  <si>
    <t>PH_hs_0032717</t>
  </si>
  <si>
    <t>PLEKHA8P1</t>
  </si>
  <si>
    <t>PH_hs_0032718</t>
  </si>
  <si>
    <t>PH_hs_0032720</t>
  </si>
  <si>
    <t>SLC25A24</t>
  </si>
  <si>
    <t>PHAX</t>
  </si>
  <si>
    <t>Homo sapiens phosphorylated adaptor for RNA export (PHAX)</t>
  </si>
  <si>
    <t>NP_115553.2</t>
  </si>
  <si>
    <t>ENSP00000297540</t>
  </si>
  <si>
    <t>PH_hs_0032741</t>
  </si>
  <si>
    <t>ATP2B4</t>
  </si>
  <si>
    <t>PH_hs_0032742</t>
  </si>
  <si>
    <t>PH_hs_0032744</t>
  </si>
  <si>
    <t>PH_hs_0032754</t>
  </si>
  <si>
    <t>KLHL29</t>
  </si>
  <si>
    <t>Homo sapiens kelch-like family member 29 (KLHL29)</t>
  </si>
  <si>
    <t>NP_443152.1</t>
  </si>
  <si>
    <t>PH_hs_0032764</t>
  </si>
  <si>
    <t>HIST3H2A</t>
  </si>
  <si>
    <t>NP_254280.1</t>
  </si>
  <si>
    <t>ENST00000366695</t>
  </si>
  <si>
    <t>ENSP00000355656</t>
  </si>
  <si>
    <t>RET</t>
  </si>
  <si>
    <t>Homo sapiens ret proto-oncogene (RET)</t>
  </si>
  <si>
    <t>PH_hs_0032779</t>
  </si>
  <si>
    <t>FLJ12825</t>
  </si>
  <si>
    <t>Homo sapiens uncharacterized LOC440101 (FLJ12825)</t>
  </si>
  <si>
    <t>ENST00000515617</t>
  </si>
  <si>
    <t>PH_hs_0032795</t>
  </si>
  <si>
    <t>PH_hs_0032796</t>
  </si>
  <si>
    <t>PH_hs_0032816</t>
  </si>
  <si>
    <t>PH_hs_0032836</t>
  </si>
  <si>
    <t>SPTY2D1</t>
  </si>
  <si>
    <t>NP_919261.2</t>
  </si>
  <si>
    <t>ENSP00000337991</t>
  </si>
  <si>
    <t>FUNDC2</t>
  </si>
  <si>
    <t>Homo sapiens FUN14 domain containing 2 (FUNDC2)</t>
  </si>
  <si>
    <t>NP_076423.2</t>
  </si>
  <si>
    <t>PH_hs_0032842</t>
  </si>
  <si>
    <t>GOLGA8B|GOLGA8A</t>
  </si>
  <si>
    <t>440270|23015</t>
  </si>
  <si>
    <t>ENSG00000215252|ENSG00000175265</t>
  </si>
  <si>
    <t>SERBP1</t>
  </si>
  <si>
    <t>Homo sapiens SERPINE1 mRNA binding protein 1 (SERBP1)</t>
  </si>
  <si>
    <t>PH_hs_0032852</t>
  </si>
  <si>
    <t>NHLRC3</t>
  </si>
  <si>
    <t>Homo sapiens NHL repeat containing 3 (NHLRC3)</t>
  </si>
  <si>
    <t>PH_hs_0032864</t>
  </si>
  <si>
    <t>NR2F1</t>
  </si>
  <si>
    <t>NP_005645.1</t>
  </si>
  <si>
    <t>PH_hs_0032872</t>
  </si>
  <si>
    <t>MGP</t>
  </si>
  <si>
    <t>Homo sapiens matrix Gla protein (MGP)</t>
  </si>
  <si>
    <t>PH_hs_0032880</t>
  </si>
  <si>
    <t>RPS2P32|RPS2</t>
  </si>
  <si>
    <t>Homo sapiens ribosomal protein S2 pseudogene 32 (RPS2P32)|Homo sapiens ribosomal protein S2 (RPS2)</t>
  </si>
  <si>
    <t>256355|6187</t>
  </si>
  <si>
    <t>NR_026676|NM_002952</t>
  </si>
  <si>
    <t>-|NP_002943.2</t>
  </si>
  <si>
    <t>PH_hs_0032910</t>
  </si>
  <si>
    <t>IRX6</t>
  </si>
  <si>
    <t>Homo sapiens iroquois homeobox 6 (IRX6)</t>
  </si>
  <si>
    <t>NP_077311.2</t>
  </si>
  <si>
    <t>ENSP00000290552</t>
  </si>
  <si>
    <t>PH_hs_0032916</t>
  </si>
  <si>
    <t>TRIM5</t>
  </si>
  <si>
    <t>Homo sapiens tripartite motif containing 5 (TRIM5)</t>
  </si>
  <si>
    <t>PH_hs_0032921</t>
  </si>
  <si>
    <t>TOMM70A</t>
  </si>
  <si>
    <t>Homo sapiens translocase of outer mitochondrial membrane 70 homolog A (S. cerevisiae)</t>
  </si>
  <si>
    <t>NP_055635.3</t>
  </si>
  <si>
    <t>ENSP00000284320</t>
  </si>
  <si>
    <t>PH_hs_0032922</t>
  </si>
  <si>
    <t>SMAD7</t>
  </si>
  <si>
    <t>Homo sapiens SMAD family member 7 (SMAD7)</t>
  </si>
  <si>
    <t>PH_hs_0032924</t>
  </si>
  <si>
    <t>PPHLN1</t>
  </si>
  <si>
    <t>Homo sapiens periphilin 1 (PPHLN1)</t>
  </si>
  <si>
    <t>PH_hs_0032928</t>
  </si>
  <si>
    <t>SLC1A3</t>
  </si>
  <si>
    <t>ENST00000497807</t>
  </si>
  <si>
    <t>MED27|CRSP8P</t>
  </si>
  <si>
    <t>Homo sapiens mediator complex subunit 27 (MED27)|Homo sapiens mediator complex subunit 27 pseudogene (CRSP8P)</t>
  </si>
  <si>
    <t>9442|441089</t>
  </si>
  <si>
    <t>PH_hs_0032964</t>
  </si>
  <si>
    <t>SPANXD|SPANXA2|SPANXA1|SPANXB1|SPANXC</t>
  </si>
  <si>
    <t>64648|728712|30014|728695|64663</t>
  </si>
  <si>
    <t>NM_032417|NM_145662|NM_013453|NM_032461|NM_022661</t>
  </si>
  <si>
    <t>NP_115793.1|NP_663695.1|NP_038481.2|NP_115850.2|NP_073152.2</t>
  </si>
  <si>
    <t>ENSG00000196406|ENSG00000203926|ENSG00000198021|ENSG00000227234|ENSG00000198573</t>
  </si>
  <si>
    <t>PH_hs_0032972</t>
  </si>
  <si>
    <t>PH_hs_0032987</t>
  </si>
  <si>
    <t>ZNF23</t>
  </si>
  <si>
    <t>Homo sapiens zinc finger protein 23 (ZNF23)</t>
  </si>
  <si>
    <t>NP_666016.1</t>
  </si>
  <si>
    <t>PH_hs_0032996</t>
  </si>
  <si>
    <t>EIF2A</t>
  </si>
  <si>
    <t>NP_114414.2</t>
  </si>
  <si>
    <t>PH_hs_0033032</t>
  </si>
  <si>
    <t>PH_hs_0033037</t>
  </si>
  <si>
    <t>PH_hs_0033042</t>
  </si>
  <si>
    <t>SYNM</t>
  </si>
  <si>
    <t>ADGRF2</t>
  </si>
  <si>
    <t>Homo sapiens adhesion G protein-coupled receptor F2 (ADGRF2)</t>
  </si>
  <si>
    <t>NP_722581.4</t>
  </si>
  <si>
    <t>PH_hs_0033056</t>
  </si>
  <si>
    <t>SPATA21</t>
  </si>
  <si>
    <t>Homo sapiens spermatogenesis associated 21 (SPATA21)</t>
  </si>
  <si>
    <t>NP_940948.1</t>
  </si>
  <si>
    <t>PH_hs_0033076</t>
  </si>
  <si>
    <t>FOXG1</t>
  </si>
  <si>
    <t>Homo sapiens forkhead box G1 (FOXG1)</t>
  </si>
  <si>
    <t>NP_005240.3</t>
  </si>
  <si>
    <t>ENST00000313071</t>
  </si>
  <si>
    <t>ENSP00000339004</t>
  </si>
  <si>
    <t>PH_hs_0033080</t>
  </si>
  <si>
    <t>PH_hs_0033090</t>
  </si>
  <si>
    <t>MGST1</t>
  </si>
  <si>
    <t>Homo sapiens microsomal glutathione S-transferase 1 (MGST1)</t>
  </si>
  <si>
    <t>PH_hs_0033092</t>
  </si>
  <si>
    <t>GPNMB</t>
  </si>
  <si>
    <t>Homo sapiens glycoprotein (transmembrane)</t>
  </si>
  <si>
    <t>PH_hs_0033110</t>
  </si>
  <si>
    <t>PH_hs_0033157</t>
  </si>
  <si>
    <t>PH_hs_0033159</t>
  </si>
  <si>
    <t>IFNL3|IFNL2|IFNL1</t>
  </si>
  <si>
    <t>282617|282616|282618</t>
  </si>
  <si>
    <t>NM_172139|NM_172138|NM_172140</t>
  </si>
  <si>
    <t>NP_742151.2|NP_742150.1|NP_742152.1</t>
  </si>
  <si>
    <t>ENSG00000197110|ENSG00000183709|ENSG00000182393</t>
  </si>
  <si>
    <t>PH_hs_0033186</t>
  </si>
  <si>
    <t>HIST2H2AC</t>
  </si>
  <si>
    <t>NP_003508.1</t>
  </si>
  <si>
    <t>ENST00000331380</t>
  </si>
  <si>
    <t>ENSP00000332194</t>
  </si>
  <si>
    <t>PH_hs_0033202</t>
  </si>
  <si>
    <t>PH_hs_0033209</t>
  </si>
  <si>
    <t>PH_hs_0033210</t>
  </si>
  <si>
    <t>MYL5</t>
  </si>
  <si>
    <t>NP_002468.1</t>
  </si>
  <si>
    <t>PH_hs_0033211</t>
  </si>
  <si>
    <t>PABPC1L</t>
  </si>
  <si>
    <t>NP_001118228.1</t>
  </si>
  <si>
    <t>PH_hs_0033213</t>
  </si>
  <si>
    <t>PH_hs_0033227</t>
  </si>
  <si>
    <t>TMEM107</t>
  </si>
  <si>
    <t>Homo sapiens transmembrane protein 107 (TMEM107)</t>
  </si>
  <si>
    <t>PH_hs_0033242</t>
  </si>
  <si>
    <t>PH_hs_0033244</t>
  </si>
  <si>
    <t>FAM104B</t>
  </si>
  <si>
    <t>PH_hs_0033256</t>
  </si>
  <si>
    <t>MAGEA6|MAGEA3|MAGEA12|MAGEA2|MAGEA2B|MAGEA10-MAGEA5|MAGEA5</t>
  </si>
  <si>
    <t>Homo sapiens melanoma antigen family A6 (MAGEA6)|Homo sapiens melanoma antigen family A3 (MAGEA3)|Homo sapiens melanoma antigen family A12 (MAGEA12)|Homo sapiens melanoma antigen family A2 (MAGEA2)|Homo sapiens melanoma antigen family A2B (MAGEA2B)|Homo sapiens MAGEA10-MAGEA5 readthrough (MAGEA10-MAGEA5)|Homo sapiens melanoma antigen family A5 (MAGEA5)</t>
  </si>
  <si>
    <t>4105|4102|4111|4101|266740|100533997|4104</t>
  </si>
  <si>
    <t>ENSG00000197172|ENSG00000221867|ENSG00000213401|ENSG00000268606|ENSG00000268606</t>
  </si>
  <si>
    <t>PH_hs_0033259</t>
  </si>
  <si>
    <t>SDHAF4</t>
  </si>
  <si>
    <t>Homo sapiens succinate dehydrogenase complex assembly factor 4 (SDHAF4)</t>
  </si>
  <si>
    <t>NP_660310.2</t>
  </si>
  <si>
    <t>ENSP00000359505</t>
  </si>
  <si>
    <t>PH_hs_0033260</t>
  </si>
  <si>
    <t>FAR2P2</t>
  </si>
  <si>
    <t>Homo sapiens fatty acyl CoA reductase 2 pseudogene 2 (FAR2P2)</t>
  </si>
  <si>
    <t>PH_hs_0033261</t>
  </si>
  <si>
    <t>ADGRG6</t>
  </si>
  <si>
    <t>Homo sapiens adhesion G protein-coupled receptor G6 (ADGRG6)</t>
  </si>
  <si>
    <t>PH_hs_0033271</t>
  </si>
  <si>
    <t>PH_hs_0033272</t>
  </si>
  <si>
    <t>PH_hs_0033277</t>
  </si>
  <si>
    <t>PH_hs_0033279</t>
  </si>
  <si>
    <t>CSAG1|CSAG3</t>
  </si>
  <si>
    <t>158511|389903</t>
  </si>
  <si>
    <t>ENSG00000198930|ENSG00000268916</t>
  </si>
  <si>
    <t>PH_hs_0033283</t>
  </si>
  <si>
    <t>PH_hs_0033284</t>
  </si>
  <si>
    <t>SNRPD2</t>
  </si>
  <si>
    <t>Homo sapiens small nuclear ribonucleoprotein D2 polypeptide 16.5kDa (SNRPD2)</t>
  </si>
  <si>
    <t>PH_hs_0033285</t>
  </si>
  <si>
    <t>MSX1</t>
  </si>
  <si>
    <t>Homo sapiens msh homeobox 1 (MSX1)</t>
  </si>
  <si>
    <t>NP_002439.2</t>
  </si>
  <si>
    <t>ENSP00000372170</t>
  </si>
  <si>
    <t>PH_hs_0033290</t>
  </si>
  <si>
    <t>PH_hs_0033295</t>
  </si>
  <si>
    <t>FAM43B</t>
  </si>
  <si>
    <t>NP_997217.1</t>
  </si>
  <si>
    <t>ENST00000332947</t>
  </si>
  <si>
    <t>ENSP00000331397</t>
  </si>
  <si>
    <t>PH_hs_0033298</t>
  </si>
  <si>
    <t>PH_hs_0033312</t>
  </si>
  <si>
    <t>C6orf62</t>
  </si>
  <si>
    <t>Homo sapiens chromosome 6 open reading frame 62 (C6orf62)</t>
  </si>
  <si>
    <t>NP_112201.1</t>
  </si>
  <si>
    <t>PH_hs_0033316</t>
  </si>
  <si>
    <t>RSRC2</t>
  </si>
  <si>
    <t>Homo sapiens arginine/serine-rich coiled-coil 2 (RSRC2)</t>
  </si>
  <si>
    <t>PH_hs_0033317</t>
  </si>
  <si>
    <t>TMEM256</t>
  </si>
  <si>
    <t>Homo sapiens transmembrane protein 256 (TMEM256)</t>
  </si>
  <si>
    <t>NP_689979.1</t>
  </si>
  <si>
    <t>PH_hs_0033319</t>
  </si>
  <si>
    <t>PH_hs_0033320</t>
  </si>
  <si>
    <t>PH_hs_0033324</t>
  </si>
  <si>
    <t>PDK1</t>
  </si>
  <si>
    <t>NP_002601.1</t>
  </si>
  <si>
    <t>PH_hs_0033330</t>
  </si>
  <si>
    <t>FAM3C</t>
  </si>
  <si>
    <t>PH_hs_0033354</t>
  </si>
  <si>
    <t>PIN1</t>
  </si>
  <si>
    <t>PH_hs_0033366</t>
  </si>
  <si>
    <t>HERC6</t>
  </si>
  <si>
    <t>Homo sapiens HECT and RLD domain containing E3 ubiquitin protein ligase family member 6 (HERC6)</t>
  </si>
  <si>
    <t>WDR37</t>
  </si>
  <si>
    <t>Homo sapiens WD repeat domain 37 (WDR37)</t>
  </si>
  <si>
    <t>NP_054742.2</t>
  </si>
  <si>
    <t>PH_hs_0033371</t>
  </si>
  <si>
    <t>LINC00667</t>
  </si>
  <si>
    <t>Homo sapiens long intergenic non-protein coding RNA 667 (LINC00667)</t>
  </si>
  <si>
    <t>MRPS18C</t>
  </si>
  <si>
    <t>Homo sapiens mitochondrial ribosomal protein S18C (MRPS18C)</t>
  </si>
  <si>
    <t>NP_057151.1</t>
  </si>
  <si>
    <t>PH_hs_0033415</t>
  </si>
  <si>
    <t>NR1H3</t>
  </si>
  <si>
    <t>PH_hs_0033438</t>
  </si>
  <si>
    <t>TRAPPC10</t>
  </si>
  <si>
    <t>Homo sapiens trafficking protein particle complex 10 (TRAPPC10)</t>
  </si>
  <si>
    <t>NP_003265.3</t>
  </si>
  <si>
    <t>PH_hs_0033439</t>
  </si>
  <si>
    <t>SGCB</t>
  </si>
  <si>
    <t>NP_000223.1</t>
  </si>
  <si>
    <t>PH_hs_0033440</t>
  </si>
  <si>
    <t>PH_hs_0033455</t>
  </si>
  <si>
    <t>ATP5S</t>
  </si>
  <si>
    <t>PH_hs_0033467</t>
  </si>
  <si>
    <t>IPO11-LRRC70|IPO11</t>
  </si>
  <si>
    <t>Homo sapiens IPO11-LRRC70 readthrough (IPO11-LRRC70)|Homo sapiens importin 11 (IPO11)</t>
  </si>
  <si>
    <t>101180901|51194</t>
  </si>
  <si>
    <t>PH_hs_0033475</t>
  </si>
  <si>
    <t>AHNAK2</t>
  </si>
  <si>
    <t>Homo sapiens AHNAK nucleoprotein 2 (AHNAK2)</t>
  </si>
  <si>
    <t>NP_612429.2</t>
  </si>
  <si>
    <t>PH_hs_0033483</t>
  </si>
  <si>
    <t>PH_hs_0033484</t>
  </si>
  <si>
    <t>PGP</t>
  </si>
  <si>
    <t>Homo sapiens phosphoglycolate phosphatase (PGP)</t>
  </si>
  <si>
    <t>NP_001035830.1</t>
  </si>
  <si>
    <t>PH_hs_0033502</t>
  </si>
  <si>
    <t>PH_hs_0033506</t>
  </si>
  <si>
    <t>BLZF1</t>
  </si>
  <si>
    <t>Homo sapiens basic leucine zipper nuclear factor 1 (BLZF1)</t>
  </si>
  <si>
    <t>NP_003657.1</t>
  </si>
  <si>
    <t>PH_hs_0033519</t>
  </si>
  <si>
    <t>KIAA0368</t>
  </si>
  <si>
    <t>Homo sapiens KIAA0368 (KIAA0368)</t>
  </si>
  <si>
    <t>NP_001073867.1</t>
  </si>
  <si>
    <t>PH_hs_0033525</t>
  </si>
  <si>
    <t>SNW1</t>
  </si>
  <si>
    <t>Homo sapiens SNW domain containing 1 (SNW1)</t>
  </si>
  <si>
    <t>NP_036377.1</t>
  </si>
  <si>
    <t>PH_hs_0033531</t>
  </si>
  <si>
    <t>PH_hs_0033536</t>
  </si>
  <si>
    <t>FAM177B</t>
  </si>
  <si>
    <t>NP_997351.2</t>
  </si>
  <si>
    <t>PH_hs_0033560</t>
  </si>
  <si>
    <t>ENAH</t>
  </si>
  <si>
    <t>Homo sapiens enabled homolog (Drosophila)</t>
  </si>
  <si>
    <t>PH_hs_0033614</t>
  </si>
  <si>
    <t>MTMR9</t>
  </si>
  <si>
    <t>Homo sapiens myotubularin related protein 9 (MTMR9)</t>
  </si>
  <si>
    <t>NP_056273.2</t>
  </si>
  <si>
    <t>PH_hs_0033617</t>
  </si>
  <si>
    <t>PH_hs_0033620</t>
  </si>
  <si>
    <t>ROBO2</t>
  </si>
  <si>
    <t>NP_001122401.1</t>
  </si>
  <si>
    <t>PH_hs_0033622</t>
  </si>
  <si>
    <t>TIMM8A</t>
  </si>
  <si>
    <t>Homo sapiens translocase of inner mitochondrial membrane 8 homolog A (yeast)</t>
  </si>
  <si>
    <t>NP_004076.1</t>
  </si>
  <si>
    <t>ENSP00000361993</t>
  </si>
  <si>
    <t>PH_hs_0033661</t>
  </si>
  <si>
    <t>NBPF14</t>
  </si>
  <si>
    <t>NP_056198.2</t>
  </si>
  <si>
    <t>ENST00000611826</t>
  </si>
  <si>
    <t>ENSP00000479380</t>
  </si>
  <si>
    <t>PH_hs_0033699</t>
  </si>
  <si>
    <t>UQCRHL|UQCRH</t>
  </si>
  <si>
    <t>Homo sapiens ubiquinol-cytochrome c reductase hinge protein-like (UQCRHL)|Homo sapiens ubiquinol-cytochrome c reductase hinge protein (UQCRH)</t>
  </si>
  <si>
    <t>440567|7388</t>
  </si>
  <si>
    <t>NM_001089591|NM_006004</t>
  </si>
  <si>
    <t>NP_001083060.1|NP_005995.2</t>
  </si>
  <si>
    <t>ENSG00000233954|ENSG00000173660</t>
  </si>
  <si>
    <t>PH_hs_0033702</t>
  </si>
  <si>
    <t>RPL13A</t>
  </si>
  <si>
    <t>Homo sapiens ribosomal protein L13a (RPL13A)</t>
  </si>
  <si>
    <t>PH_hs_0033769</t>
  </si>
  <si>
    <t>SPDYC</t>
  </si>
  <si>
    <t>Homo sapiens speedy/RINGO cell cycle regulator family member C (SPDYC)</t>
  </si>
  <si>
    <t>NP_001008778.1</t>
  </si>
  <si>
    <t>ENST00000377185</t>
  </si>
  <si>
    <t>ENSP00000366390</t>
  </si>
  <si>
    <t>PH_hs_0033838</t>
  </si>
  <si>
    <t>MROH5</t>
  </si>
  <si>
    <t>Homo sapiens maestro heat-like repeat family member 5 (MROH5)</t>
  </si>
  <si>
    <t>NP_997297.2</t>
  </si>
  <si>
    <t>PH_hs_0033839</t>
  </si>
  <si>
    <t>PH_hs_0033850</t>
  </si>
  <si>
    <t>TRIM64B|TRIM64</t>
  </si>
  <si>
    <t>Homo sapiens tripartite motif containing 64B (TRIM64B)|Homo sapiens tripartite motif containing 64 (TRIM64)</t>
  </si>
  <si>
    <t>642446|120146</t>
  </si>
  <si>
    <t>NM_001164397|NM_001136486</t>
  </si>
  <si>
    <t>NP_001157869.1|NP_001129958.1</t>
  </si>
  <si>
    <t>ENSG00000189253|ENSG00000204450</t>
  </si>
  <si>
    <t>ENST00000329862|ENST00000533122</t>
  </si>
  <si>
    <t>ENSP00000332969|ENSP00000483764</t>
  </si>
  <si>
    <t>PCLO</t>
  </si>
  <si>
    <t>Homo sapiens piccolo presynaptic cytomatrix protein (PCLO)</t>
  </si>
  <si>
    <t>PH_hs_0033886</t>
  </si>
  <si>
    <t>HIST2H2BF|HIST1H2BN|HIST1H2BE|HIST1H2BK|HIST1H2BL|HIST2H2BC|HIST1H2BI|HIST2H2BA|HIST1H2BC|HIST1H2BJ|HIST1H2BD|HIST3H2BB|HIST1H2BO|HIST1H2BH|HIST1H2BM</t>
  </si>
  <si>
    <t>440689|8341|8344|85236|8340|337873|8346|337875|8347|8970|3017|128312|8348|8345|8342</t>
  </si>
  <si>
    <t>ENSG00000203814|ENSG00000233822|ENSG00000274290|ENSG00000197903|ENSG00000185130|ENSG00000203819|ENSG00000278588|ENSG00000180596|ENSG00000124635|ENSG00000158373|ENSG00000196890|ENSG00000274641|ENSG00000275713|ENSG00000273703</t>
  </si>
  <si>
    <t>NKX2-4</t>
  </si>
  <si>
    <t>Homo sapiens NK2 homeobox 4 (NKX2-4)</t>
  </si>
  <si>
    <t>NP_149416.1</t>
  </si>
  <si>
    <t>ENST00000351817</t>
  </si>
  <si>
    <t>ENSP00000345147</t>
  </si>
  <si>
    <t>PH_hs_0033892</t>
  </si>
  <si>
    <t>C2orf78</t>
  </si>
  <si>
    <t>Homo sapiens chromosome 2 open reading frame 78 (C2orf78)</t>
  </si>
  <si>
    <t>NP_001073943.1</t>
  </si>
  <si>
    <t>ENST00000409561</t>
  </si>
  <si>
    <t>ENSP00000387124</t>
  </si>
  <si>
    <t>PH_hs_0033905</t>
  </si>
  <si>
    <t>FAM35A</t>
  </si>
  <si>
    <t>NP_061927.2</t>
  </si>
  <si>
    <t>PH_hs_0033959</t>
  </si>
  <si>
    <t>STRN</t>
  </si>
  <si>
    <t>NP_003153.2</t>
  </si>
  <si>
    <t>PH_hs_0033966</t>
  </si>
  <si>
    <t>NBPF15|NBPF3|NBPF11|NBPF14|NBPF22P</t>
  </si>
  <si>
    <t>284565|84224|200030|25832|285622</t>
  </si>
  <si>
    <t>ENSG00000266338|ENSG00000142794|ENSG00000263956|ENSG00000270629</t>
  </si>
  <si>
    <t>PH_hs_0034062</t>
  </si>
  <si>
    <t>SLC35F1</t>
  </si>
  <si>
    <t>NP_001025029.2</t>
  </si>
  <si>
    <t>PH_hs_0034114</t>
  </si>
  <si>
    <t>PRKCI</t>
  </si>
  <si>
    <t>NP_002731.4</t>
  </si>
  <si>
    <t>ENSP00000295797</t>
  </si>
  <si>
    <t>PH_hs_0034143</t>
  </si>
  <si>
    <t>C17orf97</t>
  </si>
  <si>
    <t>Homo sapiens chromosome 17 open reading frame 97 (C17orf97)</t>
  </si>
  <si>
    <t>NP_001013694.4</t>
  </si>
  <si>
    <t>PH_hs_0034153</t>
  </si>
  <si>
    <t>PH_hs_0034159</t>
  </si>
  <si>
    <t>PH_hs_0034169</t>
  </si>
  <si>
    <t>NBPF15|NBPF14|NBPF11</t>
  </si>
  <si>
    <t>284565|25832|200030</t>
  </si>
  <si>
    <t>ENSG00000266338|ENSG00000270629|ENSG00000263956</t>
  </si>
  <si>
    <t>PH_hs_0034179</t>
  </si>
  <si>
    <t>FMNL2</t>
  </si>
  <si>
    <t>Homo sapiens formin-like 2 (FMNL2)</t>
  </si>
  <si>
    <t>NP_443137.2</t>
  </si>
  <si>
    <t>TAS2R20</t>
  </si>
  <si>
    <t>NP_795370.2</t>
  </si>
  <si>
    <t>ENST00000538986</t>
  </si>
  <si>
    <t>ENSP00000441624</t>
  </si>
  <si>
    <t>PARP14</t>
  </si>
  <si>
    <t>NP_060024.2</t>
  </si>
  <si>
    <t>ACTR2</t>
  </si>
  <si>
    <t>Homo sapiens ARP2 actin-related protein 2 homolog (yeast)</t>
  </si>
  <si>
    <t>RBMX</t>
  </si>
  <si>
    <t>PH_hs_0034318</t>
  </si>
  <si>
    <t>CYSRT1</t>
  </si>
  <si>
    <t>Homo sapiens cysteine-rich tail protein 1 (CYSRT1)</t>
  </si>
  <si>
    <t>NP_945352.3</t>
  </si>
  <si>
    <t>ENST00000409414</t>
  </si>
  <si>
    <t>ENSP00000386453</t>
  </si>
  <si>
    <t>PH_hs_0034372</t>
  </si>
  <si>
    <t>HNRNPCL3|HNRNPCL1|HNRNPCL2</t>
  </si>
  <si>
    <t>Homo sapiens heterogeneous nuclear ribonucleoprotein C-like 3 (HNRNPCL3)|Homo sapiens heterogeneous nuclear ribonucleoprotein C-like 1 (HNRNPCL1)|Homo sapiens heterogeneous nuclear ribonucleoprotein C-like 2 (HNRNPCL2)</t>
  </si>
  <si>
    <t>649330|343069|440563</t>
  </si>
  <si>
    <t>NM_001146181|NM_001013631|NM_001136561</t>
  </si>
  <si>
    <t>NP_001139653.1|NP_001013653.1|NP_001130033.3</t>
  </si>
  <si>
    <t>ENSG00000277058|ENSG00000282175|ENSG00000275774</t>
  </si>
  <si>
    <t>PH_hs_0034375</t>
  </si>
  <si>
    <t>GOLGA6L9|GOLGA6L10|GOLGA6L4|GOLGA6C|GOLGA8S</t>
  </si>
  <si>
    <t>440295|647042|643707|653641|653061</t>
  </si>
  <si>
    <t>NM_198181|NM_001164465|NM_001267536|NM_001164404|NR_038843</t>
  </si>
  <si>
    <t>NP_937824.3|NP_001157937.2|NP_001254465.2|NP_001157876.1|-</t>
  </si>
  <si>
    <t>ENSG00000274320|ENSG00000274166|ENSG00000184206|ENSG00000167195</t>
  </si>
  <si>
    <t>PH_hs_0034449</t>
  </si>
  <si>
    <t>KIF2A</t>
  </si>
  <si>
    <t>Homo sapiens kinesin heavy chain member 2A (KIF2A)</t>
  </si>
  <si>
    <t>PH_hs_0034549</t>
  </si>
  <si>
    <t>FAAP20</t>
  </si>
  <si>
    <t>Homo sapiens Fanconi anemia core complex associated protein 20 (FAAP20)</t>
  </si>
  <si>
    <t>PH_hs_0034579</t>
  </si>
  <si>
    <t>TMPRSS11F</t>
  </si>
  <si>
    <t>NP_997290.2</t>
  </si>
  <si>
    <t>ENST00000356291</t>
  </si>
  <si>
    <t>ENSP00000348639</t>
  </si>
  <si>
    <t>PH_hs_0034601</t>
  </si>
  <si>
    <t>NES</t>
  </si>
  <si>
    <t>Homo sapiens nestin (NES)</t>
  </si>
  <si>
    <t>NP_006608.1</t>
  </si>
  <si>
    <t>ENST00000368223</t>
  </si>
  <si>
    <t>ENSP00000357206</t>
  </si>
  <si>
    <t>PH_hs_0034610</t>
  </si>
  <si>
    <t>AEBP2</t>
  </si>
  <si>
    <t>Homo sapiens AE binding protein 2 (AEBP2)</t>
  </si>
  <si>
    <t>PH_hs_0034629</t>
  </si>
  <si>
    <t>GOLGA8S|GOLGA8EP|GOLGA8CP|GOLGA8DP|GOLGA8G</t>
  </si>
  <si>
    <t>653061|390535|729786|100132979|283768</t>
  </si>
  <si>
    <t>NR_038843|NR_033350|NR_027411|NR_027407|NR_033353</t>
  </si>
  <si>
    <t>-|-|-|-|-</t>
  </si>
  <si>
    <t>ENSG00000181984|ENSG00000181984|ENSG00000175676|ENSG00000183629</t>
  </si>
  <si>
    <t>|||ENSP00000458130</t>
  </si>
  <si>
    <t>PH_hs_0034636</t>
  </si>
  <si>
    <t>ZNF761|ZNF860|ZNF468|ZNF765</t>
  </si>
  <si>
    <t>Homo sapiens zinc finger protein 761 (ZNF761)|Homo sapiens zinc finger protein 860 (ZNF860)|Homo sapiens zinc finger protein 468 (ZNF468)|Homo sapiens zinc finger protein 765 (ZNF765)</t>
  </si>
  <si>
    <t>388561|344787|90333|91661</t>
  </si>
  <si>
    <t>NM_001008401|NM_001137674|NM_001008801|NM_001040185</t>
  </si>
  <si>
    <t>NP_001008401.3|NP_001131146.2|NP_001008801.1|NP_001035275.1</t>
  </si>
  <si>
    <t>ENSG00000160336|ENSG00000197385|ENSG00000204604|ENSG00000196417</t>
  </si>
  <si>
    <t>PH_hs_0034664</t>
  </si>
  <si>
    <t>NCAPG</t>
  </si>
  <si>
    <t>PH_hs_0034759</t>
  </si>
  <si>
    <t>PH_hs_0034793</t>
  </si>
  <si>
    <t>OR3A1</t>
  </si>
  <si>
    <t>NP_002541.2</t>
  </si>
  <si>
    <t>PH_hs_0034815</t>
  </si>
  <si>
    <t>PYROXD1</t>
  </si>
  <si>
    <t>Homo sapiens pyridine nucleotide-disulphide oxidoreductase domain 1 (PYROXD1)</t>
  </si>
  <si>
    <t>NP_079130.2</t>
  </si>
  <si>
    <t>PH_hs_0034821</t>
  </si>
  <si>
    <t>PH_hs_0034829</t>
  </si>
  <si>
    <t>LYPLA2P2|LYPLA2</t>
  </si>
  <si>
    <t>Homo sapiens lysophospholipase II pseudogene 2 (LYPLA2P2)|Homo sapiens lysophospholipase II (LYPLA2)</t>
  </si>
  <si>
    <t>388499|11313</t>
  </si>
  <si>
    <t>NR_033250|NM_007260</t>
  </si>
  <si>
    <t>-|NP_009191.1</t>
  </si>
  <si>
    <t>PH_hs_0034837</t>
  </si>
  <si>
    <t>ARG2</t>
  </si>
  <si>
    <t>Homo sapiens arginase 2 (ARG2)</t>
  </si>
  <si>
    <t>NP_001163.1</t>
  </si>
  <si>
    <t>ENSP00000261783</t>
  </si>
  <si>
    <t>PH_hs_0034849</t>
  </si>
  <si>
    <t>OMP</t>
  </si>
  <si>
    <t>Homo sapiens olfactory marker protein (OMP)</t>
  </si>
  <si>
    <t>NP_006180.1</t>
  </si>
  <si>
    <t>ENST00000529803</t>
  </si>
  <si>
    <t>ENSP00000436376</t>
  </si>
  <si>
    <t>PH_hs_0034868</t>
  </si>
  <si>
    <t>PH_hs_0034871</t>
  </si>
  <si>
    <t>INGX</t>
  </si>
  <si>
    <t>PH_hs_0034881</t>
  </si>
  <si>
    <t>PH_hs_0034888</t>
  </si>
  <si>
    <t>KRTAP3-1</t>
  </si>
  <si>
    <t>Homo sapiens keratin associated protein 3-1 (KRTAP3-1)</t>
  </si>
  <si>
    <t>NP_114164.1</t>
  </si>
  <si>
    <t>ENSP00000375430</t>
  </si>
  <si>
    <t>PH_hs_0034893</t>
  </si>
  <si>
    <t>KRTAP2-2</t>
  </si>
  <si>
    <t>Homo sapiens keratin associated protein 2-2 (KRTAP2-2)</t>
  </si>
  <si>
    <t>NP_149021.2</t>
  </si>
  <si>
    <t>PH_hs_0034903</t>
  </si>
  <si>
    <t>ARID3C</t>
  </si>
  <si>
    <t>Homo sapiens AT rich interactive domain 3C (BRIGHT-like)</t>
  </si>
  <si>
    <t>NP_001017363.1</t>
  </si>
  <si>
    <t>ENST00000378909</t>
  </si>
  <si>
    <t>ENSP00000368189</t>
  </si>
  <si>
    <t>PH_hs_0034919</t>
  </si>
  <si>
    <t>ZNF564</t>
  </si>
  <si>
    <t>Homo sapiens zinc finger protein 564 (ZNF564)</t>
  </si>
  <si>
    <t>NP_659413.1</t>
  </si>
  <si>
    <t>PH_hs_0034942</t>
  </si>
  <si>
    <t>SLC25A5</t>
  </si>
  <si>
    <t>NP_001143.2</t>
  </si>
  <si>
    <t>ENSP00000360671</t>
  </si>
  <si>
    <t>PH_hs_0034946</t>
  </si>
  <si>
    <t>PH_hs_0034953</t>
  </si>
  <si>
    <t>AQP12B|AQP12A</t>
  </si>
  <si>
    <t>Homo sapiens aquaporin 12B (AQP12B)|Homo sapiens aquaporin 12A (AQP12A)</t>
  </si>
  <si>
    <t>653437|375318</t>
  </si>
  <si>
    <t>NM_001102467|NM_198998</t>
  </si>
  <si>
    <t>NP_001095937.1|NP_945349.1</t>
  </si>
  <si>
    <t>ENSG00000185176|ENSG00000184945</t>
  </si>
  <si>
    <t>PH_hs_0034997</t>
  </si>
  <si>
    <t>PH_hs_0035011</t>
  </si>
  <si>
    <t>RPL29|RPL29P2</t>
  </si>
  <si>
    <t>Homo sapiens ribosomal protein L29 (RPL29)|Homo sapiens ribosomal protein L29 pseudogene 2 (RPL29P2)</t>
  </si>
  <si>
    <t>6159|118432</t>
  </si>
  <si>
    <t>NM_000992|NR_002778</t>
  </si>
  <si>
    <t>NP_000983.1|-</t>
  </si>
  <si>
    <t>ENSG00000162244|ENSG00000240480</t>
  </si>
  <si>
    <t>ZNF658</t>
  </si>
  <si>
    <t>Homo sapiens zinc finger protein 658 (ZNF658)</t>
  </si>
  <si>
    <t>NP_149350.3</t>
  </si>
  <si>
    <t>PH_hs_0035084</t>
  </si>
  <si>
    <t>C8orf82</t>
  </si>
  <si>
    <t>Homo sapiens chromosome 8 open reading frame 82 (C8orf82)</t>
  </si>
  <si>
    <t>NP_001001795.1</t>
  </si>
  <si>
    <t>PH_hs_0035139</t>
  </si>
  <si>
    <t>HSPE1</t>
  </si>
  <si>
    <t>Homo sapiens heat shock 10kDa protein 1 (HSPE1)</t>
  </si>
  <si>
    <t>NP_002148.1</t>
  </si>
  <si>
    <t>PH_hs_0035153</t>
  </si>
  <si>
    <t>APOBEC3A|LAIR1</t>
  </si>
  <si>
    <t>200315|3903</t>
  </si>
  <si>
    <t>ENSG00000262156|ENSG00000276053</t>
  </si>
  <si>
    <t>PH_hs_0035172</t>
  </si>
  <si>
    <t>RPL7A</t>
  </si>
  <si>
    <t>Homo sapiens ribosomal protein L7a (RPL7A)</t>
  </si>
  <si>
    <t>NP_000963.1</t>
  </si>
  <si>
    <t>PH_hs_0035201</t>
  </si>
  <si>
    <t>NRARP</t>
  </si>
  <si>
    <t>Homo sapiens NOTCH-regulated ankyrin repeat protein (NRARP)</t>
  </si>
  <si>
    <t>NP_001004354.1</t>
  </si>
  <si>
    <t>ENST00000356628</t>
  </si>
  <si>
    <t>ENSP00000349041</t>
  </si>
  <si>
    <t>PH_hs_0035247</t>
  </si>
  <si>
    <t>ARHGEF33</t>
  </si>
  <si>
    <t>NP_001138923.2</t>
  </si>
  <si>
    <t>PH_hs_0035253</t>
  </si>
  <si>
    <t>PH_hs_0035271</t>
  </si>
  <si>
    <t>PH_hs_0035301</t>
  </si>
  <si>
    <t>SPIN2A|SPIN2B</t>
  </si>
  <si>
    <t>54466|474343</t>
  </si>
  <si>
    <t>ENSG00000147059|ENSG00000186787</t>
  </si>
  <si>
    <t>PH_hs_0035317</t>
  </si>
  <si>
    <t>CYP4A22|CYP4A11</t>
  </si>
  <si>
    <t>284541|1579</t>
  </si>
  <si>
    <t>NM_001010969|NM_000778</t>
  </si>
  <si>
    <t>NP_001010969.2|NP_000769.2</t>
  </si>
  <si>
    <t>ENSG00000162365|ENSG00000162365</t>
  </si>
  <si>
    <t>ENST00000620131|ENST00000620131</t>
  </si>
  <si>
    <t>ENSP00000479019|ENSP00000479019</t>
  </si>
  <si>
    <t>PH_hs_0035318</t>
  </si>
  <si>
    <t>PRL</t>
  </si>
  <si>
    <t>Homo sapiens prolactin (PRL)</t>
  </si>
  <si>
    <t>PH_hs_0035322</t>
  </si>
  <si>
    <t>PH_hs_0035324</t>
  </si>
  <si>
    <t>DYNLL1</t>
  </si>
  <si>
    <t>PH_hs_0035325</t>
  </si>
  <si>
    <t>PH_hs_0035330</t>
  </si>
  <si>
    <t>ARPIN</t>
  </si>
  <si>
    <t>Homo sapiens actin-related protein 2/3 complex inhibitor (ARPIN)</t>
  </si>
  <si>
    <t>NP_872422.1</t>
  </si>
  <si>
    <t>PH_hs_0035332</t>
  </si>
  <si>
    <t>PH_hs_0035337</t>
  </si>
  <si>
    <t>PH_hs_0035339</t>
  </si>
  <si>
    <t>UQCR11</t>
  </si>
  <si>
    <t>NP_006821.1</t>
  </si>
  <si>
    <t>PH_hs_0035343</t>
  </si>
  <si>
    <t>CSRP2</t>
  </si>
  <si>
    <t>Homo sapiens cysteine and glycine-rich protein 2 (CSRP2)</t>
  </si>
  <si>
    <t>NP_001312.1</t>
  </si>
  <si>
    <t>PH_hs_0035354</t>
  </si>
  <si>
    <t>PH_hs_0035355</t>
  </si>
  <si>
    <t>CCNJL</t>
  </si>
  <si>
    <t>Homo sapiens cyclin J-like (CCNJL)</t>
  </si>
  <si>
    <t>NP_078841.3</t>
  </si>
  <si>
    <t>PH_hs_0035361</t>
  </si>
  <si>
    <t>ACSL6</t>
  </si>
  <si>
    <t>Homo sapiens acyl-CoA synthetase long-chain family member 6 (ACSL6)</t>
  </si>
  <si>
    <t>PH_hs_0035364</t>
  </si>
  <si>
    <t>SPIRE1</t>
  </si>
  <si>
    <t>Homo sapiens spire-type actin nucleation factor 1 (SPIRE1)</t>
  </si>
  <si>
    <t>PH_hs_0035369</t>
  </si>
  <si>
    <t>CCDC171</t>
  </si>
  <si>
    <t>Homo sapiens coiled-coil domain containing 171 (CCDC171)</t>
  </si>
  <si>
    <t>NP_775821.2</t>
  </si>
  <si>
    <t>PH_hs_0035370</t>
  </si>
  <si>
    <t>CCDC28B</t>
  </si>
  <si>
    <t>Homo sapiens coiled-coil domain containing 28B (CCDC28B)</t>
  </si>
  <si>
    <t>NP_077272.2</t>
  </si>
  <si>
    <t>PH_hs_0035371</t>
  </si>
  <si>
    <t>HRSP12</t>
  </si>
  <si>
    <t>Homo sapiens heat-responsive protein 12 (HRSP12)</t>
  </si>
  <si>
    <t>NP_005827.1</t>
  </si>
  <si>
    <t>PH_hs_0035373</t>
  </si>
  <si>
    <t>HSD17B14</t>
  </si>
  <si>
    <t>NP_057330.2</t>
  </si>
  <si>
    <t>PH_hs_0035377</t>
  </si>
  <si>
    <t>PH_hs_0035379</t>
  </si>
  <si>
    <t>PH_hs_0035388</t>
  </si>
  <si>
    <t>NLN</t>
  </si>
  <si>
    <t>Homo sapiens neurolysin (metallopeptidase M3 family)</t>
  </si>
  <si>
    <t>NP_065777.1</t>
  </si>
  <si>
    <t>DDX60L</t>
  </si>
  <si>
    <t>NP_001012985.2</t>
  </si>
  <si>
    <t>PH_hs_0035417</t>
  </si>
  <si>
    <t>PH_hs_0035432</t>
  </si>
  <si>
    <t>NMI</t>
  </si>
  <si>
    <t>Homo sapiens N-myc (and STAT)</t>
  </si>
  <si>
    <t>NP_004679.2</t>
  </si>
  <si>
    <t>PH_hs_0035433</t>
  </si>
  <si>
    <t>ENSP00000355968</t>
  </si>
  <si>
    <t>PRADC1</t>
  </si>
  <si>
    <t>Homo sapiens protease-associated domain containing 1 (PRADC1)</t>
  </si>
  <si>
    <t>NP_115695.1</t>
  </si>
  <si>
    <t>ENSP00000258083</t>
  </si>
  <si>
    <t>KLHL15</t>
  </si>
  <si>
    <t>Homo sapiens kelch-like family member 15 (KLHL15)</t>
  </si>
  <si>
    <t>NP_085127.2</t>
  </si>
  <si>
    <t>ENST00000328046</t>
  </si>
  <si>
    <t>ENSP00000332791</t>
  </si>
  <si>
    <t>ITSN1</t>
  </si>
  <si>
    <t>Homo sapiens intersectin 1 (SH3 domain protein)</t>
  </si>
  <si>
    <t>PH_hs_0035446</t>
  </si>
  <si>
    <t>SCYL2</t>
  </si>
  <si>
    <t>Homo sapiens SCY1-like 2 (S. cerevisiae)</t>
  </si>
  <si>
    <t>NP_060458.3</t>
  </si>
  <si>
    <t>PH_hs_0035451</t>
  </si>
  <si>
    <t>NDUFA1</t>
  </si>
  <si>
    <t>NP_004532.1</t>
  </si>
  <si>
    <t>ENST00000371437</t>
  </si>
  <si>
    <t>ENSP00000360492</t>
  </si>
  <si>
    <t>PH_hs_0035463</t>
  </si>
  <si>
    <t>PH_hs_0035466</t>
  </si>
  <si>
    <t>AKR1C3|AKR1C1</t>
  </si>
  <si>
    <t>8644|1645</t>
  </si>
  <si>
    <t>ENSG00000196139|ENSG00000187134</t>
  </si>
  <si>
    <t>PH_hs_0035476</t>
  </si>
  <si>
    <t>PH_hs_0035479</t>
  </si>
  <si>
    <t>PH_hs_0035480</t>
  </si>
  <si>
    <t>ANKIB1</t>
  </si>
  <si>
    <t>Homo sapiens ankyrin repeat and IBR domain containing 1 (ANKIB1)</t>
  </si>
  <si>
    <t>NP_061877.1</t>
  </si>
  <si>
    <t>PH_hs_0035482</t>
  </si>
  <si>
    <t>PH_hs_0035485</t>
  </si>
  <si>
    <t>PH_hs_0035489</t>
  </si>
  <si>
    <t>PH_hs_0035495</t>
  </si>
  <si>
    <t>ASXL2</t>
  </si>
  <si>
    <t>Homo sapiens additional sex combs like transcriptional regulator 2 (ASXL2)</t>
  </si>
  <si>
    <t>NP_060733.4</t>
  </si>
  <si>
    <t>ADGB</t>
  </si>
  <si>
    <t>Homo sapiens androglobin (ADGB)</t>
  </si>
  <si>
    <t>NP_078970.3</t>
  </si>
  <si>
    <t>PH_hs_0035516</t>
  </si>
  <si>
    <t>KDM6B</t>
  </si>
  <si>
    <t>NP_001073893.1</t>
  </si>
  <si>
    <t>EPB41L4A</t>
  </si>
  <si>
    <t>Homo sapiens erythrocyte membrane protein band 4.1 like 4A (EPB41L4A)</t>
  </si>
  <si>
    <t>NP_071423.3</t>
  </si>
  <si>
    <t>PH_hs_0035522</t>
  </si>
  <si>
    <t>PCDH17</t>
  </si>
  <si>
    <t>Homo sapiens protocadherin 17 (PCDH17)</t>
  </si>
  <si>
    <t>NP_001035519.1</t>
  </si>
  <si>
    <t>PH_hs_0035523</t>
  </si>
  <si>
    <t>MRPL12</t>
  </si>
  <si>
    <t>Homo sapiens mitochondrial ribosomal protein L12 (MRPL12)</t>
  </si>
  <si>
    <t>NP_002940.2</t>
  </si>
  <si>
    <t>PH_hs_0035525</t>
  </si>
  <si>
    <t>PH_hs_0035526</t>
  </si>
  <si>
    <t>PH_hs_0035534</t>
  </si>
  <si>
    <t>PH_hs_0035535</t>
  </si>
  <si>
    <t>NUDT7</t>
  </si>
  <si>
    <t>PH_hs_0035539</t>
  </si>
  <si>
    <t>PH_hs_0035541</t>
  </si>
  <si>
    <t>NME1|NME1-NME2</t>
  </si>
  <si>
    <t>Homo sapiens NME/NM23 nucleoside diphosphate kinase 1 (NME1)|Homo sapiens NME1-NME2 readthrough (NME1-NME2)</t>
  </si>
  <si>
    <t>4830|654364</t>
  </si>
  <si>
    <t>ENSG00000239672|ENSG00000011052</t>
  </si>
  <si>
    <t>PH_hs_0035543</t>
  </si>
  <si>
    <t>H2AFZ</t>
  </si>
  <si>
    <t>NP_002097.1</t>
  </si>
  <si>
    <t>ENSP00000296417</t>
  </si>
  <si>
    <t>PH_hs_0035544</t>
  </si>
  <si>
    <t>AP2S1</t>
  </si>
  <si>
    <t>PH_hs_0035561</t>
  </si>
  <si>
    <t>PH_hs_0035577</t>
  </si>
  <si>
    <t>HIST1H2BJ</t>
  </si>
  <si>
    <t>NP_066402.2</t>
  </si>
  <si>
    <t>SUGP2</t>
  </si>
  <si>
    <t>Homo sapiens SURP and G patch domain containing 2 (SUGP2)</t>
  </si>
  <si>
    <t>PH_hs_0035589</t>
  </si>
  <si>
    <t>CPEB1</t>
  </si>
  <si>
    <t>Homo sapiens cytoplasmic polyadenylation element binding protein 1 (CPEB1)</t>
  </si>
  <si>
    <t>PH_hs_0035592</t>
  </si>
  <si>
    <t>CACNA1F</t>
  </si>
  <si>
    <t>PH_hs_0035604</t>
  </si>
  <si>
    <t>ATPAF2</t>
  </si>
  <si>
    <t>Homo sapiens ATP synthase mitochondrial F1 complex assembly factor 2 (ATPAF2)</t>
  </si>
  <si>
    <t>NP_663729.1</t>
  </si>
  <si>
    <t>PH_hs_0035608</t>
  </si>
  <si>
    <t>MTIF2</t>
  </si>
  <si>
    <t>Homo sapiens mitochondrial translational initiation factor 2 (MTIF2)</t>
  </si>
  <si>
    <t>PH_hs_0035627</t>
  </si>
  <si>
    <t>PH_hs_0035643</t>
  </si>
  <si>
    <t>PH_hs_0035652</t>
  </si>
  <si>
    <t>PH_hs_0035659</t>
  </si>
  <si>
    <t>PH_hs_0035668</t>
  </si>
  <si>
    <t>WWP1</t>
  </si>
  <si>
    <t>Homo sapiens WW domain containing E3 ubiquitin protein ligase 1 (WWP1)</t>
  </si>
  <si>
    <t>NP_008944.1</t>
  </si>
  <si>
    <t>PH_hs_0035712</t>
  </si>
  <si>
    <t>UBE2K</t>
  </si>
  <si>
    <t>Homo sapiens ubiquitin-conjugating enzyme E2K (UBE2K)</t>
  </si>
  <si>
    <t>PH_hs_0035737</t>
  </si>
  <si>
    <t>PH_hs_0035739</t>
  </si>
  <si>
    <t>S100A6</t>
  </si>
  <si>
    <t>Homo sapiens S100 calcium binding protein A6 (S100A6)</t>
  </si>
  <si>
    <t>NP_055439.1</t>
  </si>
  <si>
    <t>PH_hs_0035740</t>
  </si>
  <si>
    <t>ZCCHC4</t>
  </si>
  <si>
    <t>NP_079212.2</t>
  </si>
  <si>
    <t>Homo sapiens tocopherol (alpha)</t>
  </si>
  <si>
    <t>PH_hs_0035759</t>
  </si>
  <si>
    <t>PH_hs_0035772</t>
  </si>
  <si>
    <t>PH_hs_0035773</t>
  </si>
  <si>
    <t>CC2D2A</t>
  </si>
  <si>
    <t>Homo sapiens coiled-coil and C2 domain containing 2A (CC2D2A)</t>
  </si>
  <si>
    <t>NP_001073991.2</t>
  </si>
  <si>
    <t>PH_hs_0035777</t>
  </si>
  <si>
    <t>ZRANB3</t>
  </si>
  <si>
    <t>NP_115519.2</t>
  </si>
  <si>
    <t>PH_hs_0035779</t>
  </si>
  <si>
    <t>HYKK</t>
  </si>
  <si>
    <t>Homo sapiens hydroxylysine kinase (HYKK)</t>
  </si>
  <si>
    <t>PH_hs_0035783</t>
  </si>
  <si>
    <t>DGCR6|DGCR6L</t>
  </si>
  <si>
    <t>Homo sapiens DiGeorge syndrome critical region gene 6 (DGCR6)|Homo sapiens DiGeorge syndrome critical region gene 6-like (DGCR6L)</t>
  </si>
  <si>
    <t>8214|85359</t>
  </si>
  <si>
    <t>NM_005675|NM_033257</t>
  </si>
  <si>
    <t>NP_005666.2|NP_150282.2</t>
  </si>
  <si>
    <t>ENSG00000183628|ENSG00000128185</t>
  </si>
  <si>
    <t>PH_hs_0035786</t>
  </si>
  <si>
    <t>PH_hs_0035798</t>
  </si>
  <si>
    <t>PH_hs_0035804</t>
  </si>
  <si>
    <t>MSRB3</t>
  </si>
  <si>
    <t>Homo sapiens methionine sulfoxide reductase B3 (MSRB3)</t>
  </si>
  <si>
    <t>PH_hs_0035811</t>
  </si>
  <si>
    <t>TYW3</t>
  </si>
  <si>
    <t>Homo sapiens tRNA-yW synthesizing protein 3 homolog (S. cerevisiae)</t>
  </si>
  <si>
    <t>PH_hs_0035818</t>
  </si>
  <si>
    <t>MLIP</t>
  </si>
  <si>
    <t>Homo sapiens muscular LMNA-interacting protein (MLIP)</t>
  </si>
  <si>
    <t>NP_612636.2</t>
  </si>
  <si>
    <t>PH_hs_0035831</t>
  </si>
  <si>
    <t>PH_hs_0035840</t>
  </si>
  <si>
    <t>NAPG</t>
  </si>
  <si>
    <t>NP_003817.1</t>
  </si>
  <si>
    <t>PH_hs_0035847</t>
  </si>
  <si>
    <t>PLAC8</t>
  </si>
  <si>
    <t>Homo sapiens placenta-specific 8 (PLAC8)</t>
  </si>
  <si>
    <t>FKBP1A</t>
  </si>
  <si>
    <t>PH_hs_0035871</t>
  </si>
  <si>
    <t>PH_hs_0035884</t>
  </si>
  <si>
    <t>NP_064617.2</t>
  </si>
  <si>
    <t>PH_hs_0035888</t>
  </si>
  <si>
    <t>PH_hs_0035894</t>
  </si>
  <si>
    <t>RCOR1</t>
  </si>
  <si>
    <t>Homo sapiens REST corepressor 1 (RCOR1)</t>
  </si>
  <si>
    <t>NP_055971.2</t>
  </si>
  <si>
    <t>PH_hs_0035906</t>
  </si>
  <si>
    <t>PH_hs_0035908</t>
  </si>
  <si>
    <t>LAMTOR4</t>
  </si>
  <si>
    <t>NP_001008396.1</t>
  </si>
  <si>
    <t>PH_hs_0035910</t>
  </si>
  <si>
    <t>PH_hs_0035920</t>
  </si>
  <si>
    <t>PH_hs_0035922</t>
  </si>
  <si>
    <t>PH_hs_0035924</t>
  </si>
  <si>
    <t>SLC39A4</t>
  </si>
  <si>
    <t>PH_hs_0035926</t>
  </si>
  <si>
    <t>PH_hs_0035928</t>
  </si>
  <si>
    <t>THOC6</t>
  </si>
  <si>
    <t>Homo sapiens THO complex 6 (THOC6)</t>
  </si>
  <si>
    <t>PH_hs_0035929</t>
  </si>
  <si>
    <t>SLC25A48</t>
  </si>
  <si>
    <t>NP_660325.4</t>
  </si>
  <si>
    <t>PH_hs_0035941</t>
  </si>
  <si>
    <t>PH_hs_0035943</t>
  </si>
  <si>
    <t>PH_hs_0035944</t>
  </si>
  <si>
    <t>SERF2|SERF2-C15ORF63</t>
  </si>
  <si>
    <t>Homo sapiens small EDRK-rich factor 2 (SERF2)|Homo sapiens SERF2-C15orf63 readthrough (SERF2-C15ORF63)</t>
  </si>
  <si>
    <t>10169|100529067</t>
  </si>
  <si>
    <t>PH_hs_0035948</t>
  </si>
  <si>
    <t>PH_hs_0035955</t>
  </si>
  <si>
    <t>PH_hs_0035956</t>
  </si>
  <si>
    <t>PH_hs_0035959</t>
  </si>
  <si>
    <t>NP_473363.1</t>
  </si>
  <si>
    <t>PH_hs_0035962</t>
  </si>
  <si>
    <t>SMIM4</t>
  </si>
  <si>
    <t>Homo sapiens small integral membrane protein 4 (SMIM4)</t>
  </si>
  <si>
    <t>NP_001118239.1</t>
  </si>
  <si>
    <t>PH_hs_0035963</t>
  </si>
  <si>
    <t>PH_hs_0035970</t>
  </si>
  <si>
    <t>PH_hs_0035997</t>
  </si>
  <si>
    <t>PH_hs_0035998</t>
  </si>
  <si>
    <t>DNAJC15</t>
  </si>
  <si>
    <t>NP_037370.2</t>
  </si>
  <si>
    <t>ENSP00000368523</t>
  </si>
  <si>
    <t>PH_hs_0036025</t>
  </si>
  <si>
    <t>PH_hs_0036027</t>
  </si>
  <si>
    <t>CD36</t>
  </si>
  <si>
    <t>Homo sapiens CD36 molecule (thrombospondin receptor)</t>
  </si>
  <si>
    <t>NP_001001548.1</t>
  </si>
  <si>
    <t>PH_hs_0036029</t>
  </si>
  <si>
    <t>LCORL</t>
  </si>
  <si>
    <t>Homo sapiens ligand dependent nuclear receptor corepressor-like (LCORL)</t>
  </si>
  <si>
    <t>NP_710153.2</t>
  </si>
  <si>
    <t>ZSCAN2</t>
  </si>
  <si>
    <t>Homo sapiens zinc finger and SCAN domain containing 2 (ZSCAN2)</t>
  </si>
  <si>
    <t>PH_hs_0036044</t>
  </si>
  <si>
    <t>PH_hs_0036053</t>
  </si>
  <si>
    <t>HNRNPA1P10|HNRNPA1L2</t>
  </si>
  <si>
    <t>Homo sapiens heterogeneous nuclear ribonucleoprotein A1 pseudogene 10 (HNRNPA1P10)|Homo sapiens heterogeneous nuclear ribonucleoprotein A1-like 2 (HNRNPA1L2)</t>
  </si>
  <si>
    <t>664709|144983</t>
  </si>
  <si>
    <t>ENSG00000224578|ENSG00000139675</t>
  </si>
  <si>
    <t>|ENSP00000350090</t>
  </si>
  <si>
    <t>PH_hs_0036058</t>
  </si>
  <si>
    <t>IGFBP3</t>
  </si>
  <si>
    <t>Homo sapiens insulin-like growth factor binding protein 3 (IGFBP3)</t>
  </si>
  <si>
    <t>PH_hs_0036063</t>
  </si>
  <si>
    <t>CCDC71</t>
  </si>
  <si>
    <t>Homo sapiens coiled-coil domain containing 71 (CCDC71)</t>
  </si>
  <si>
    <t>NP_075054.3</t>
  </si>
  <si>
    <t>ENST00000321895</t>
  </si>
  <si>
    <t>ENSP00000319006</t>
  </si>
  <si>
    <t>PH_hs_0036071</t>
  </si>
  <si>
    <t>PH_hs_0036080</t>
  </si>
  <si>
    <t>POU5F2</t>
  </si>
  <si>
    <t>NP_694948.1</t>
  </si>
  <si>
    <t>ENSP00000464890</t>
  </si>
  <si>
    <t>PH_hs_0036086</t>
  </si>
  <si>
    <t>PH_hs_0036092</t>
  </si>
  <si>
    <t>PH_hs_0036094</t>
  </si>
  <si>
    <t>ARL17B|ARL17A</t>
  </si>
  <si>
    <t>Homo sapiens ADP-ribosylation factor-like 17B (ARL17B)|Homo sapiens ADP-ribosylation factor-like 17A (ARL17A)</t>
  </si>
  <si>
    <t>100506084|51326</t>
  </si>
  <si>
    <t>ENSG00000228696|ENSG00000228696</t>
  </si>
  <si>
    <t>ENST00000622877|ENST00000622877</t>
  </si>
  <si>
    <t>ENSP00000479751|ENSP00000479751</t>
  </si>
  <si>
    <t>PH_hs_0036096</t>
  </si>
  <si>
    <t>USMG5</t>
  </si>
  <si>
    <t>Homo sapiens up-regulated during skeletal muscle growth 5 homolog (mouse)</t>
  </si>
  <si>
    <t>NCR3LG1</t>
  </si>
  <si>
    <t>Homo sapiens natural killer cell cytotoxicity receptor 3 ligand 1 (NCR3LG1)</t>
  </si>
  <si>
    <t>NP_001189368.1</t>
  </si>
  <si>
    <t>PH_hs_0036101</t>
  </si>
  <si>
    <t>OST4</t>
  </si>
  <si>
    <t>Homo sapiens oligosaccharyltransferase 4 homolog (S. cerevisiae)</t>
  </si>
  <si>
    <t>NP_001128165.1</t>
  </si>
  <si>
    <t>PH_hs_0036109</t>
  </si>
  <si>
    <t>PH_hs_0036111</t>
  </si>
  <si>
    <t>ZNF114</t>
  </si>
  <si>
    <t>Homo sapiens zinc finger protein 114 (ZNF114)</t>
  </si>
  <si>
    <t>NP_705836.1</t>
  </si>
  <si>
    <t>PH_hs_0036117</t>
  </si>
  <si>
    <t>LRRFIP1</t>
  </si>
  <si>
    <t>PRRT3</t>
  </si>
  <si>
    <t>Homo sapiens proline-rich transmembrane protein 3 (PRRT3)</t>
  </si>
  <si>
    <t>NP_997234.3</t>
  </si>
  <si>
    <t>PH_hs_0036139</t>
  </si>
  <si>
    <t>PH_hs_0036140</t>
  </si>
  <si>
    <t>PH_hs_0036168</t>
  </si>
  <si>
    <t>POU6F1</t>
  </si>
  <si>
    <t>Homo sapiens POU class 6 homeobox 1 (POU6F1)</t>
  </si>
  <si>
    <t>PH_hs_0036177</t>
  </si>
  <si>
    <t>C17orf104</t>
  </si>
  <si>
    <t>Homo sapiens chromosome 17 open reading frame 104 (C17orf104)</t>
  </si>
  <si>
    <t>NP_001138552.2</t>
  </si>
  <si>
    <t>PH_hs_0036200</t>
  </si>
  <si>
    <t>YY2</t>
  </si>
  <si>
    <t>Homo sapiens YY2 transcription factor (YY2)</t>
  </si>
  <si>
    <t>NP_996806.2</t>
  </si>
  <si>
    <t>ENST00000429584</t>
  </si>
  <si>
    <t>ENSP00000389381</t>
  </si>
  <si>
    <t>PH_hs_0036297</t>
  </si>
  <si>
    <t>SNORD46</t>
  </si>
  <si>
    <t>ENST00000364043</t>
  </si>
  <si>
    <t>PH_hs_0036301</t>
  </si>
  <si>
    <t>FLJ23867</t>
  </si>
  <si>
    <t>Homo sapiens uncharacterized protein FLJ23867 (FLJ23867)</t>
  </si>
  <si>
    <t>PH_hs_0036367</t>
  </si>
  <si>
    <t>ENSG00000185155</t>
  </si>
  <si>
    <t>PH_hs_0036497</t>
  </si>
  <si>
    <t>DHRS4L2|DHRS4</t>
  </si>
  <si>
    <t>Homo sapiens dehydrogenase/reductase (SDR family)|Homo sapiens dehydrogenase/reductase (SDR family)</t>
  </si>
  <si>
    <t>317749|10901</t>
  </si>
  <si>
    <t>ENSG00000157326|ENSG00000157326</t>
  </si>
  <si>
    <t>ENST00000559975|ENST00000559975</t>
  </si>
  <si>
    <t>ENSP00000454099|ENSP00000454099</t>
  </si>
  <si>
    <t>PH_hs_0036686</t>
  </si>
  <si>
    <t>VCY1B|VCY</t>
  </si>
  <si>
    <t>353513|9084</t>
  </si>
  <si>
    <t>NM_181880|NM_004679</t>
  </si>
  <si>
    <t>NP_870996.1|NP_004670.1</t>
  </si>
  <si>
    <t>ENSG00000129862|ENSG00000129864</t>
  </si>
  <si>
    <t>ENST00000250823|ENST00000250825</t>
  </si>
  <si>
    <t>ENSP00000250823|ENSP00000250825</t>
  </si>
  <si>
    <t>PH_hs_0036772</t>
  </si>
  <si>
    <t>DUSP5P1</t>
  </si>
  <si>
    <t>Homo sapiens dual specificity phosphatase 5 pseudogene 1 (DUSP5P1)</t>
  </si>
  <si>
    <t>PH_hs_0036878</t>
  </si>
  <si>
    <t>PIF1</t>
  </si>
  <si>
    <t>Homo sapiens PIF1 5'-to-3' DNA helicase (PIF1)</t>
  </si>
  <si>
    <t>NP_079325.2</t>
  </si>
  <si>
    <t>PH_hs_0036941</t>
  </si>
  <si>
    <t>HMGB1</t>
  </si>
  <si>
    <t>Homo sapiens high mobility group box 1 (HMGB1)</t>
  </si>
  <si>
    <t>NP_002119.1</t>
  </si>
  <si>
    <t>PH_hs_0037100</t>
  </si>
  <si>
    <t>PH_hs_0037156</t>
  </si>
  <si>
    <t>DMTF1</t>
  </si>
  <si>
    <t>Homo sapiens cyclin D binding myb-like transcription factor 1 (DMTF1)</t>
  </si>
  <si>
    <t>PH_hs_0037351</t>
  </si>
  <si>
    <t>LRRC8B</t>
  </si>
  <si>
    <t>PH_hs_0037354</t>
  </si>
  <si>
    <t>TMEM64</t>
  </si>
  <si>
    <t>Homo sapiens transmembrane protein 64 (TMEM64)</t>
  </si>
  <si>
    <t>PH_hs_0037449</t>
  </si>
  <si>
    <t>PH_hs_0037456</t>
  </si>
  <si>
    <t>ENSG00000184743</t>
  </si>
  <si>
    <t>PH_hs_0037464</t>
  </si>
  <si>
    <t>PH_hs_0037502</t>
  </si>
  <si>
    <t>NP_001034745.1</t>
  </si>
  <si>
    <t>PH_hs_0037639</t>
  </si>
  <si>
    <t>PH_hs_0037653</t>
  </si>
  <si>
    <t>HERC2P9|HERC2P2</t>
  </si>
  <si>
    <t>Homo sapiens hect domain and RLD 2 pseudogene 9 (HERC2P9)|Homo sapiens hect domain and RLD 2 pseudogene 2 (HERC2P2)</t>
  </si>
  <si>
    <t>440248|400322</t>
  </si>
  <si>
    <t>NR_036443|NR_002824</t>
  </si>
  <si>
    <t>PH_hs_0037670</t>
  </si>
  <si>
    <t>PRAMEF14|PRAMEF2|PRAMEF1|PRAMEF17|PRAMEF16</t>
  </si>
  <si>
    <t>Homo sapiens PRAME family member 14 (PRAMEF14)|Homo sapiens PRAME family member 2 (PRAMEF2)|Homo sapiens PRAME family member 1 (PRAMEF1)|Homo sapiens PRAME family member 17 (PRAMEF17)|Homo sapiens PRAME family member 16 (PRAMEF16)</t>
  </si>
  <si>
    <t>729528|65122|65121|391004|654348</t>
  </si>
  <si>
    <t>NM_001024661|NM_023014|NM_023013|NM_001099851|NM_001045480</t>
  </si>
  <si>
    <t>NP_001019832.2|NP_075390.1|NP_075389.2|NP_001093321.1|NP_001038945.1</t>
  </si>
  <si>
    <t>ENSG00000204481|ENSG00000282817|ENSG00000116721|ENSG00000204479|ENSG00000204479</t>
  </si>
  <si>
    <t>ENSP00000334410|ENSP00000487743||ENSP00000365266|ENSP00000365266</t>
  </si>
  <si>
    <t>PH_hs_0037695</t>
  </si>
  <si>
    <t>GRAMD1C</t>
  </si>
  <si>
    <t>Homo sapiens GRAM domain containing 1C (GRAMD1C)</t>
  </si>
  <si>
    <t>-|-|-</t>
  </si>
  <si>
    <t>PH_hs_0037754</t>
  </si>
  <si>
    <t>RPS20</t>
  </si>
  <si>
    <t>Homo sapiens ribosomal protein S20 (RPS20)</t>
  </si>
  <si>
    <t>NP_001139699.1</t>
  </si>
  <si>
    <t>PH_hs_0037792</t>
  </si>
  <si>
    <t>PH_hs_0037896</t>
  </si>
  <si>
    <t>NUDT4P1</t>
  </si>
  <si>
    <t>PH_hs_0038049</t>
  </si>
  <si>
    <t>KIF5C</t>
  </si>
  <si>
    <t>Homo sapiens kinesin family member 5C (KIF5C)</t>
  </si>
  <si>
    <t>NP_004513.1</t>
  </si>
  <si>
    <t>PH_hs_0038101</t>
  </si>
  <si>
    <t>POLR3G</t>
  </si>
  <si>
    <t>NP_006458.2</t>
  </si>
  <si>
    <t>PH_hs_0038131</t>
  </si>
  <si>
    <t>DHRS4|DHRS4L2</t>
  </si>
  <si>
    <t>10901|317749</t>
  </si>
  <si>
    <t>PH_hs_0038155</t>
  </si>
  <si>
    <t>PH_hs_0038184</t>
  </si>
  <si>
    <t>RPL23A</t>
  </si>
  <si>
    <t>Homo sapiens ribosomal protein L23a (RPL23A)</t>
  </si>
  <si>
    <t>NP_000975.2</t>
  </si>
  <si>
    <t>PH_hs_0038203</t>
  </si>
  <si>
    <t>SPANXD|SPANXA2|SPANXA1</t>
  </si>
  <si>
    <t>64648|728712|30014</t>
  </si>
  <si>
    <t>NM_032417|NM_145662|NM_013453</t>
  </si>
  <si>
    <t>NP_115793.1|NP_663695.1|NP_038481.2</t>
  </si>
  <si>
    <t>ENSG00000196406|ENSG00000203926|ENSG00000198021</t>
  </si>
  <si>
    <t>PH_hs_0038234</t>
  </si>
  <si>
    <t>ENSG00000162819</t>
  </si>
  <si>
    <t>PH_hs_0038309</t>
  </si>
  <si>
    <t>TMEM151B</t>
  </si>
  <si>
    <t>Homo sapiens transmembrane protein 151B (TMEM151B)</t>
  </si>
  <si>
    <t>NP_001131032.1</t>
  </si>
  <si>
    <t>PH_hs_0038487</t>
  </si>
  <si>
    <t>NP_001035514.1</t>
  </si>
  <si>
    <t>PH_hs_0038510</t>
  </si>
  <si>
    <t>PH_hs_0038546</t>
  </si>
  <si>
    <t>PH_hs_0038568</t>
  </si>
  <si>
    <t>PH_hs_0038609</t>
  </si>
  <si>
    <t>TTPA</t>
  </si>
  <si>
    <t>NP_000361.1</t>
  </si>
  <si>
    <t>ENSP00000260116</t>
  </si>
  <si>
    <t>PH_hs_0038690</t>
  </si>
  <si>
    <t>RPL35</t>
  </si>
  <si>
    <t>Homo sapiens ribosomal protein L35 (RPL35)</t>
  </si>
  <si>
    <t>NP_009140.1</t>
  </si>
  <si>
    <t>PH_hs_0038716</t>
  </si>
  <si>
    <t>RHOT1</t>
  </si>
  <si>
    <t>Homo sapiens ras homolog family member T1 (RHOT1)</t>
  </si>
  <si>
    <t>SVEP1</t>
  </si>
  <si>
    <t>NP_699197.3</t>
  </si>
  <si>
    <t>PH_hs_0038735</t>
  </si>
  <si>
    <t>PH_hs_0038789</t>
  </si>
  <si>
    <t>PH_hs_0038876</t>
  </si>
  <si>
    <t>MT2A</t>
  </si>
  <si>
    <t>Homo sapiens metallothionein 2A (MT2A)</t>
  </si>
  <si>
    <t>NP_005944.1</t>
  </si>
  <si>
    <t>PH_hs_0038942</t>
  </si>
  <si>
    <t>PH_hs_0038969</t>
  </si>
  <si>
    <t>ZNF611</t>
  </si>
  <si>
    <t>Homo sapiens zinc finger protein 611 (ZNF611)</t>
  </si>
  <si>
    <t>PH_hs_0039013</t>
  </si>
  <si>
    <t>PH_hs_0039037</t>
  </si>
  <si>
    <t>STAG3L3|STAG3L2|STAG3L1</t>
  </si>
  <si>
    <t>Homo sapiens stromal antigen 3-like 3 (pseudogene)|Homo sapiens stromal antigen 3-like 2 (pseudogene)|Homo sapiens stromal antigen 3-like 1 (pseudogene)</t>
  </si>
  <si>
    <t>442578|442582|54441</t>
  </si>
  <si>
    <t>NR_040582|NR_040584|NR_040583</t>
  </si>
  <si>
    <t>PH_hs_0039103</t>
  </si>
  <si>
    <t>PH_hs_0039109</t>
  </si>
  <si>
    <t>NACA</t>
  </si>
  <si>
    <t>Homo sapiens nascent polypeptide-associated complex alpha subunit (NACA)</t>
  </si>
  <si>
    <t>NP_001106674.2</t>
  </si>
  <si>
    <t>PH_hs_0039135</t>
  </si>
  <si>
    <t>PH_hs_0039153</t>
  </si>
  <si>
    <t>DANCR</t>
  </si>
  <si>
    <t>Homo sapiens differentiation antagonizing non-protein coding RNA (DANCR)</t>
  </si>
  <si>
    <t>PH_hs_0039207</t>
  </si>
  <si>
    <t>PH_hs_0039217</t>
  </si>
  <si>
    <t>PH_hs_0039224</t>
  </si>
  <si>
    <t>PH_hs_0039239</t>
  </si>
  <si>
    <t>PH_hs_0039289</t>
  </si>
  <si>
    <t>UHRF1BP1</t>
  </si>
  <si>
    <t>Homo sapiens UHRF1 binding protein 1 (UHRF1BP1)</t>
  </si>
  <si>
    <t>NP_060224.3</t>
  </si>
  <si>
    <t>PH_hs_0039294</t>
  </si>
  <si>
    <t>ENSG00000107643</t>
  </si>
  <si>
    <t>PH_hs_0039329</t>
  </si>
  <si>
    <t>ANKRD28</t>
  </si>
  <si>
    <t>Homo sapiens ankyrin repeat domain 28 (ANKRD28)</t>
  </si>
  <si>
    <t>PH_hs_0039330</t>
  </si>
  <si>
    <t>SYNCRIP</t>
  </si>
  <si>
    <t>PH_hs_0039332</t>
  </si>
  <si>
    <t>RASEF</t>
  </si>
  <si>
    <t>Homo sapiens RAS and EF-hand domain containing (RASEF)</t>
  </si>
  <si>
    <t>NP_689786.2</t>
  </si>
  <si>
    <t>PH_hs_0039364</t>
  </si>
  <si>
    <t>MAGEA2|MAGEA2B|MAGEA12|MAGEA3</t>
  </si>
  <si>
    <t>Homo sapiens melanoma antigen family A2 (MAGEA2)|Homo sapiens melanoma antigen family A2B (MAGEA2B)|Homo sapiens melanoma antigen family A12 (MAGEA12)|Homo sapiens melanoma antigen family A3 (MAGEA3)</t>
  </si>
  <si>
    <t>4101|266740|4111|4102</t>
  </si>
  <si>
    <t>ENSG00000268606|ENSG00000268606|ENSG00000213401|ENSG00000221867</t>
  </si>
  <si>
    <t>PH_hs_0039392</t>
  </si>
  <si>
    <t>H2AFV</t>
  </si>
  <si>
    <t>NP_619541.1</t>
  </si>
  <si>
    <t>PH_hs_0039423</t>
  </si>
  <si>
    <t>LOC100190986</t>
  </si>
  <si>
    <t>Homo sapiens uncharacterized LOC100190986 (LOC100190986)</t>
  </si>
  <si>
    <t>PH_hs_0039469</t>
  </si>
  <si>
    <t>COA3</t>
  </si>
  <si>
    <t>Homo sapiens cytochrome c oxidase assembly factor 3 (COA3)</t>
  </si>
  <si>
    <t>NP_001035521.1</t>
  </si>
  <si>
    <t>PH_hs_0039516</t>
  </si>
  <si>
    <t>NP_001121631.1</t>
  </si>
  <si>
    <t>PH_hs_0039548</t>
  </si>
  <si>
    <t>PH_hs_0039650</t>
  </si>
  <si>
    <t>PH_hs_0039656</t>
  </si>
  <si>
    <t>PH_hs_0039657</t>
  </si>
  <si>
    <t>PH_hs_0039681</t>
  </si>
  <si>
    <t>CLMN</t>
  </si>
  <si>
    <t>NP_079010.2</t>
  </si>
  <si>
    <t>PH_hs_0039698</t>
  </si>
  <si>
    <t>NP_001158275.1</t>
  </si>
  <si>
    <t>PH_hs_0039702</t>
  </si>
  <si>
    <t>PH_hs_0039734</t>
  </si>
  <si>
    <t>NUP50</t>
  </si>
  <si>
    <t>Homo sapiens nucleoporin 50kDa (NUP50)</t>
  </si>
  <si>
    <t>TMEM205</t>
  </si>
  <si>
    <t>Homo sapiens transmembrane protein 205 (TMEM205)</t>
  </si>
  <si>
    <t>PH_hs_0039768</t>
  </si>
  <si>
    <t>PH_hs_0039886</t>
  </si>
  <si>
    <t>RFWD3</t>
  </si>
  <si>
    <t>Homo sapiens ring finger and WD repeat domain 3 (RFWD3)</t>
  </si>
  <si>
    <t>NP_060594.3</t>
  </si>
  <si>
    <t>PH_hs_0039916</t>
  </si>
  <si>
    <t>EEF1D</t>
  </si>
  <si>
    <t>Homo sapiens eukaryotic translation elongation factor 1 delta (guanine nucleotide exchange protein)</t>
  </si>
  <si>
    <t>PH_hs_0039929</t>
  </si>
  <si>
    <t>PH_hs_0039958</t>
  </si>
  <si>
    <t>DCAF6</t>
  </si>
  <si>
    <t>Homo sapiens DDB1 and CUL4 associated factor 6 (DCAF6)</t>
  </si>
  <si>
    <t>PH_hs_0039971</t>
  </si>
  <si>
    <t>TBC1D15</t>
  </si>
  <si>
    <t>TRA2B</t>
  </si>
  <si>
    <t>Homo sapiens transformer 2 beta homolog (Drosophila)</t>
  </si>
  <si>
    <t>PH_hs_0040032</t>
  </si>
  <si>
    <t>RHNO1</t>
  </si>
  <si>
    <t>Homo sapiens RAD9-HUS1-RAD1 interacting nuclear orphan 1 (RHNO1)</t>
  </si>
  <si>
    <t>PH_hs_0040108</t>
  </si>
  <si>
    <t>MRPS7</t>
  </si>
  <si>
    <t>Homo sapiens mitochondrial ribosomal protein S7 (MRPS7)</t>
  </si>
  <si>
    <t>NP_057055.2</t>
  </si>
  <si>
    <t>PH_hs_0040117</t>
  </si>
  <si>
    <t>DCLK3</t>
  </si>
  <si>
    <t>Homo sapiens doublecortin-like kinase 3 (DCLK3)</t>
  </si>
  <si>
    <t>NP_208382.1</t>
  </si>
  <si>
    <t>ENSP00000394484</t>
  </si>
  <si>
    <t>FIBP</t>
  </si>
  <si>
    <t>Homo sapiens fibroblast growth factor (acidic)</t>
  </si>
  <si>
    <t>MAD2L1BP</t>
  </si>
  <si>
    <t>Homo sapiens MAD2L1 binding protein (MAD2L1BP)</t>
  </si>
  <si>
    <t>BTNL9</t>
  </si>
  <si>
    <t>Homo sapiens butyrophilin-like 9 (BTNL9)</t>
  </si>
  <si>
    <t>NP_689760.2</t>
  </si>
  <si>
    <t>C5orf28</t>
  </si>
  <si>
    <t>Homo sapiens chromosome 5 open reading frame 28 (C5orf28)</t>
  </si>
  <si>
    <t>NP_071928.2</t>
  </si>
  <si>
    <t>PH_hs_0040201</t>
  </si>
  <si>
    <t>ZNF229</t>
  </si>
  <si>
    <t>Homo sapiens zinc finger protein 229 (ZNF229)</t>
  </si>
  <si>
    <t>NP_055333.3</t>
  </si>
  <si>
    <t>PH_hs_0040202</t>
  </si>
  <si>
    <t>PH_hs_0040240</t>
  </si>
  <si>
    <t>COPS6</t>
  </si>
  <si>
    <t>Homo sapiens COP9 signalosome subunit 6 (COPS6)</t>
  </si>
  <si>
    <t>NP_006824.2</t>
  </si>
  <si>
    <t>NLGN4Y</t>
  </si>
  <si>
    <t>PH_hs_0040283</t>
  </si>
  <si>
    <t>PH_hs_0040289</t>
  </si>
  <si>
    <t>PH_hs_0040290</t>
  </si>
  <si>
    <t>RPE|RPEL1</t>
  </si>
  <si>
    <t>Homo sapiens ribulose-5-phosphate-3-epimerase (RPE)|Homo sapiens ribulose-5-phosphate-3-epimerase-like 1 (RPEL1)</t>
  </si>
  <si>
    <t>6120|729020</t>
  </si>
  <si>
    <t>NM_199229|NM_001143909</t>
  </si>
  <si>
    <t>NP_954699.1|NP_001137381.1</t>
  </si>
  <si>
    <t>ENSG00000197713|ENSG00000235376</t>
  </si>
  <si>
    <t>PH_hs_0040323</t>
  </si>
  <si>
    <t>TMEM26</t>
  </si>
  <si>
    <t>Homo sapiens transmembrane protein 26 (TMEM26)</t>
  </si>
  <si>
    <t>NP_848600.2</t>
  </si>
  <si>
    <t>PH_hs_0040338</t>
  </si>
  <si>
    <t>PH_hs_0040358</t>
  </si>
  <si>
    <t>PH_hs_0040375</t>
  </si>
  <si>
    <t>PRIMPOL</t>
  </si>
  <si>
    <t>Homo sapiens primase and polymerase (DNA-directed)</t>
  </si>
  <si>
    <t>NP_689896.1</t>
  </si>
  <si>
    <t>PH_hs_0040387</t>
  </si>
  <si>
    <t>TMX2-CTNND1|TMX2</t>
  </si>
  <si>
    <t>Homo sapiens TMX2-CTNND1 readthrough (NMD candidate)|Homo sapiens thioredoxin-related transmembrane protein 2 (TMX2)</t>
  </si>
  <si>
    <t>100528016|51075</t>
  </si>
  <si>
    <t>PH_hs_0040388</t>
  </si>
  <si>
    <t>ZNF542P</t>
  </si>
  <si>
    <t>PH_hs_0040395</t>
  </si>
  <si>
    <t>PRDX3</t>
  </si>
  <si>
    <t>Homo sapiens peroxiredoxin 3 (PRDX3)</t>
  </si>
  <si>
    <t>NP_006784.1</t>
  </si>
  <si>
    <t>ENSP00000298510</t>
  </si>
  <si>
    <t>NP_001136197.1</t>
  </si>
  <si>
    <t>PH_hs_0040431</t>
  </si>
  <si>
    <t>TRIM37</t>
  </si>
  <si>
    <t>Homo sapiens tripartite motif containing 37 (TRIM37)</t>
  </si>
  <si>
    <t>NP_001005207.1</t>
  </si>
  <si>
    <t>PH_hs_0040434</t>
  </si>
  <si>
    <t>PH_hs_0040466</t>
  </si>
  <si>
    <t>NP_001129741.1</t>
  </si>
  <si>
    <t>KIAA1841</t>
  </si>
  <si>
    <t>Homo sapiens KIAA1841 (KIAA1841)</t>
  </si>
  <si>
    <t>NP_001123465.1</t>
  </si>
  <si>
    <t>PH_hs_0040497</t>
  </si>
  <si>
    <t>PH_hs_0040511</t>
  </si>
  <si>
    <t>ZNF85</t>
  </si>
  <si>
    <t>Homo sapiens zinc finger protein 85 (ZNF85)</t>
  </si>
  <si>
    <t>PH_hs_0040557</t>
  </si>
  <si>
    <t>OLFM3</t>
  </si>
  <si>
    <t>Homo sapiens olfactomedin 3 (OLFM3)</t>
  </si>
  <si>
    <t>NP_477518.2</t>
  </si>
  <si>
    <t>PH_hs_0040561</t>
  </si>
  <si>
    <t>SAXO2</t>
  </si>
  <si>
    <t>Homo sapiens stabilizer of axonemal microtubules 2 (SAXO2)</t>
  </si>
  <si>
    <t>NP_001008227.1</t>
  </si>
  <si>
    <t>PH_hs_0040597</t>
  </si>
  <si>
    <t>CHD8</t>
  </si>
  <si>
    <t>Homo sapiens chromodomain helicase DNA binding protein 8 (CHD8)</t>
  </si>
  <si>
    <t>ZNF791</t>
  </si>
  <si>
    <t>Homo sapiens zinc finger protein 791 (ZNF791)</t>
  </si>
  <si>
    <t>NP_699189.2</t>
  </si>
  <si>
    <t>CES2</t>
  </si>
  <si>
    <t>Homo sapiens carboxylesterase 2 (CES2)</t>
  </si>
  <si>
    <t>PH_hs_0040664</t>
  </si>
  <si>
    <t>GNPTAB</t>
  </si>
  <si>
    <t>NP_077288.2</t>
  </si>
  <si>
    <t>PRKCSH</t>
  </si>
  <si>
    <t>Homo sapiens protein kinase C substrate 80K-H (PRKCSH)</t>
  </si>
  <si>
    <t>PH_hs_0040677</t>
  </si>
  <si>
    <t>MAPK8IP1</t>
  </si>
  <si>
    <t>Homo sapiens mitogen-activated protein kinase 8 interacting protein 1 (MAPK8IP1)</t>
  </si>
  <si>
    <t>NP_005447.1</t>
  </si>
  <si>
    <t>PH_hs_0040683</t>
  </si>
  <si>
    <t>NCAPG2</t>
  </si>
  <si>
    <t>NP_060230.5</t>
  </si>
  <si>
    <t>TMEM67</t>
  </si>
  <si>
    <t>Homo sapiens transmembrane protein 67 (TMEM67)</t>
  </si>
  <si>
    <t>PH_hs_0040696</t>
  </si>
  <si>
    <t>IKBKAP</t>
  </si>
  <si>
    <t>NP_003631.2</t>
  </si>
  <si>
    <t>PH_hs_0040705</t>
  </si>
  <si>
    <t>ATP7A</t>
  </si>
  <si>
    <t>NP_000043.4</t>
  </si>
  <si>
    <t>HSP90AA1</t>
  </si>
  <si>
    <t>ZNF83</t>
  </si>
  <si>
    <t>Homo sapiens zinc finger protein 83 (ZNF83)</t>
  </si>
  <si>
    <t>MATR3</t>
  </si>
  <si>
    <t>Homo sapiens matrin 3 (MATR3)</t>
  </si>
  <si>
    <t>PH_hs_0040769</t>
  </si>
  <si>
    <t>AQR</t>
  </si>
  <si>
    <t>Homo sapiens aquarius intron-binding spliceosomal factor (AQR)</t>
  </si>
  <si>
    <t>NP_055506.1</t>
  </si>
  <si>
    <t>PH_hs_0040792</t>
  </si>
  <si>
    <t>PDGFD</t>
  </si>
  <si>
    <t>Homo sapiens platelet derived growth factor D (PDGFD)</t>
  </si>
  <si>
    <t>TSPAN12</t>
  </si>
  <si>
    <t>Homo sapiens tetraspanin 12 (TSPAN12)</t>
  </si>
  <si>
    <t>NP_036470.1</t>
  </si>
  <si>
    <t>LYSMD1</t>
  </si>
  <si>
    <t>PH_hs_0040828</t>
  </si>
  <si>
    <t>ZNF749</t>
  </si>
  <si>
    <t>Homo sapiens zinc finger protein 749 (ZNF749)</t>
  </si>
  <si>
    <t>NP_001018855.2</t>
  </si>
  <si>
    <t>DKK2</t>
  </si>
  <si>
    <t>Homo sapiens dickkopf WNT signaling pathway inhibitor 2 (DKK2)</t>
  </si>
  <si>
    <t>NP_055236.1</t>
  </si>
  <si>
    <t>PSME4</t>
  </si>
  <si>
    <t>NP_055429.2</t>
  </si>
  <si>
    <t>ADAM9</t>
  </si>
  <si>
    <t>Homo sapiens ADAM metallopeptidase domain 9 (ADAM9)</t>
  </si>
  <si>
    <t>PNMA3</t>
  </si>
  <si>
    <t>Homo sapiens paraneoplastic Ma antigen 3 (PNMA3)</t>
  </si>
  <si>
    <t>NP_037496.4</t>
  </si>
  <si>
    <t>ANK2</t>
  </si>
  <si>
    <t>PH_hs_0040958</t>
  </si>
  <si>
    <t>ZNF585B</t>
  </si>
  <si>
    <t>Homo sapiens zinc finger protein 585B (ZNF585B)</t>
  </si>
  <si>
    <t>NP_689492.3</t>
  </si>
  <si>
    <t>PH_hs_0040978</t>
  </si>
  <si>
    <t>SPG20</t>
  </si>
  <si>
    <t>Homo sapiens spastic paraplegia 20 (Troyer syndrome)</t>
  </si>
  <si>
    <t>A2M</t>
  </si>
  <si>
    <t>Homo sapiens alpha-2-macroglobulin (A2M)</t>
  </si>
  <si>
    <t>NP_000005.2</t>
  </si>
  <si>
    <t>PH_hs_0041049</t>
  </si>
  <si>
    <t>SLC25A53</t>
  </si>
  <si>
    <t>NP_001012773.2</t>
  </si>
  <si>
    <t>ENSP00000468980</t>
  </si>
  <si>
    <t>PH_hs_0041066</t>
  </si>
  <si>
    <t>DHFRL1</t>
  </si>
  <si>
    <t>Homo sapiens dihydrofolate reductase-like 1 (DHFRL1)</t>
  </si>
  <si>
    <t>DST</t>
  </si>
  <si>
    <t>Homo sapiens dystonin (DST)</t>
  </si>
  <si>
    <t>NP_056363.2</t>
  </si>
  <si>
    <t>PH_hs_0041094</t>
  </si>
  <si>
    <t>CNOT6</t>
  </si>
  <si>
    <t>ARHGAP23</t>
  </si>
  <si>
    <t>Homo sapiens Rho GTPase activating protein 23 (ARHGAP23)</t>
  </si>
  <si>
    <t>NP_001186346.1</t>
  </si>
  <si>
    <t>FAT4</t>
  </si>
  <si>
    <t>Homo sapiens FAT atypical cadherin 4 (FAT4)</t>
  </si>
  <si>
    <t>NP_078858.4</t>
  </si>
  <si>
    <t>PH_hs_0041172</t>
  </si>
  <si>
    <t>RUNX1</t>
  </si>
  <si>
    <t>Homo sapiens runt-related transcription factor 1 (RUNX1)</t>
  </si>
  <si>
    <t>ENST00000437180</t>
  </si>
  <si>
    <t>ENSP00000409227</t>
  </si>
  <si>
    <t>PH_hs_0041191</t>
  </si>
  <si>
    <t>HNRNPR</t>
  </si>
  <si>
    <t>Homo sapiens heterogeneous nuclear ribonucleoprotein R (HNRNPR)</t>
  </si>
  <si>
    <t>PH_hs_0041203</t>
  </si>
  <si>
    <t>PH_hs_0042004</t>
  </si>
  <si>
    <t>COMMD4</t>
  </si>
  <si>
    <t>Homo sapiens COMM domain containing 4 (COMMD4)</t>
  </si>
  <si>
    <t>NP_060298.2</t>
  </si>
  <si>
    <t>PH_hs_0042007</t>
  </si>
  <si>
    <t>NUDT5</t>
  </si>
  <si>
    <t>NP_054861.2</t>
  </si>
  <si>
    <t>PH_hs_0042010</t>
  </si>
  <si>
    <t>PH_hs_0042014</t>
  </si>
  <si>
    <t>PH_hs_0042020</t>
  </si>
  <si>
    <t>ALDH1A3</t>
  </si>
  <si>
    <t>NP_000684.2</t>
  </si>
  <si>
    <t>PH_hs_0042049</t>
  </si>
  <si>
    <t>KRT20</t>
  </si>
  <si>
    <t>NP_061883.1</t>
  </si>
  <si>
    <t>ENSP00000167588</t>
  </si>
  <si>
    <t>PH_hs_0042052</t>
  </si>
  <si>
    <t>SF3A2</t>
  </si>
  <si>
    <t>NP_009096.2</t>
  </si>
  <si>
    <t>PH_hs_0042088</t>
  </si>
  <si>
    <t>PH_hs_0042093</t>
  </si>
  <si>
    <t>PH_hs_0042096</t>
  </si>
  <si>
    <t>PH_hs_0042114</t>
  </si>
  <si>
    <t>SVIP</t>
  </si>
  <si>
    <t>Homo sapiens small VCP/p97-interacting protein (SVIP)</t>
  </si>
  <si>
    <t>NP_683691.1</t>
  </si>
  <si>
    <t>ENSP00000346130</t>
  </si>
  <si>
    <t>PH_hs_0042129</t>
  </si>
  <si>
    <t>PH_hs_0042136</t>
  </si>
  <si>
    <t>PH_hs_0042137</t>
  </si>
  <si>
    <t>IGFL3</t>
  </si>
  <si>
    <t>Homo sapiens IGF-like family member 3 (IGFL3)</t>
  </si>
  <si>
    <t>NP_997276.1</t>
  </si>
  <si>
    <t>ENST00000341415</t>
  </si>
  <si>
    <t>ENSP00000344860</t>
  </si>
  <si>
    <t>PH_hs_0042144</t>
  </si>
  <si>
    <t>PH_hs_0042150</t>
  </si>
  <si>
    <t>PH_hs_0042190</t>
  </si>
  <si>
    <t>MYL10</t>
  </si>
  <si>
    <t>NP_612412.2</t>
  </si>
  <si>
    <t>ENST00000223167</t>
  </si>
  <si>
    <t>ENSP00000223167</t>
  </si>
  <si>
    <t>PH_hs_0042195</t>
  </si>
  <si>
    <t>PH_hs_0042202</t>
  </si>
  <si>
    <t>MTNR1A</t>
  </si>
  <si>
    <t>Homo sapiens melatonin receptor 1A (MTNR1A)</t>
  </si>
  <si>
    <t>NP_005949.1</t>
  </si>
  <si>
    <t>ENST00000307161</t>
  </si>
  <si>
    <t>ENSP00000302811</t>
  </si>
  <si>
    <t>PH_hs_0042217</t>
  </si>
  <si>
    <t>ZCCHC12</t>
  </si>
  <si>
    <t>NP_776159.1</t>
  </si>
  <si>
    <t>ENST00000310164</t>
  </si>
  <si>
    <t>ENSP00000308921</t>
  </si>
  <si>
    <t>PH_hs_0042223</t>
  </si>
  <si>
    <t>WTIP</t>
  </si>
  <si>
    <t>Homo sapiens Wilms tumor 1 interacting protein (WTIP)</t>
  </si>
  <si>
    <t>NP_001073905.1</t>
  </si>
  <si>
    <t>PH_hs_0042231</t>
  </si>
  <si>
    <t>PH_hs_0042235</t>
  </si>
  <si>
    <t>PH_hs_0042236</t>
  </si>
  <si>
    <t>PH_hs_0042251</t>
  </si>
  <si>
    <t>PH_hs_0042257</t>
  </si>
  <si>
    <t>HIST1H4H</t>
  </si>
  <si>
    <t>NP_003534.1</t>
  </si>
  <si>
    <t>ENST00000377727</t>
  </si>
  <si>
    <t>ENSP00000366956</t>
  </si>
  <si>
    <t>PH_hs_0042258</t>
  </si>
  <si>
    <t>PH_hs_0042287</t>
  </si>
  <si>
    <t>HIST3H2BB</t>
  </si>
  <si>
    <t>NP_778225.1</t>
  </si>
  <si>
    <t>ENST00000620438</t>
  </si>
  <si>
    <t>ENSP00000479284</t>
  </si>
  <si>
    <t>PH_hs_0042288</t>
  </si>
  <si>
    <t>PH_hs_0042296</t>
  </si>
  <si>
    <t>UFL1</t>
  </si>
  <si>
    <t>Homo sapiens UFM1-specific ligase 1 (UFL1)</t>
  </si>
  <si>
    <t>NP_056138.1</t>
  </si>
  <si>
    <t>ENSP00000358283</t>
  </si>
  <si>
    <t>PH_hs_0042298</t>
  </si>
  <si>
    <t>NLRP2</t>
  </si>
  <si>
    <t>PH_hs_0042305</t>
  </si>
  <si>
    <t>VMP1</t>
  </si>
  <si>
    <t>Homo sapiens vacuole membrane protein 1 (VMP1)</t>
  </si>
  <si>
    <t>NP_112200.2</t>
  </si>
  <si>
    <t>PH_hs_0042331</t>
  </si>
  <si>
    <t>PSMA6</t>
  </si>
  <si>
    <t>NP_002782.1</t>
  </si>
  <si>
    <t>PH_hs_0042334</t>
  </si>
  <si>
    <t>MT4</t>
  </si>
  <si>
    <t>Homo sapiens metallothionein 4 (MT4)</t>
  </si>
  <si>
    <t>NP_116324.1</t>
  </si>
  <si>
    <t>ENST00000219162</t>
  </si>
  <si>
    <t>ENSP00000219162</t>
  </si>
  <si>
    <t>PH_hs_0042340</t>
  </si>
  <si>
    <t>CCDC61</t>
  </si>
  <si>
    <t>Homo sapiens coiled-coil domain containing 61 (CCDC61)</t>
  </si>
  <si>
    <t>NP_001254652.1</t>
  </si>
  <si>
    <t>PH_hs_0042343</t>
  </si>
  <si>
    <t>RPS19</t>
  </si>
  <si>
    <t>Homo sapiens ribosomal protein S19 (RPS19)</t>
  </si>
  <si>
    <t>NP_001013.1</t>
  </si>
  <si>
    <t>PH_hs_0042347</t>
  </si>
  <si>
    <t>FKBP8</t>
  </si>
  <si>
    <t>NP_036313.3</t>
  </si>
  <si>
    <t>PH_hs_0042349</t>
  </si>
  <si>
    <t>UBE2S</t>
  </si>
  <si>
    <t>Homo sapiens ubiquitin-conjugating enzyme E2S (UBE2S)</t>
  </si>
  <si>
    <t>NP_055316.2</t>
  </si>
  <si>
    <t>PH_hs_0042367</t>
  </si>
  <si>
    <t>TNNC1</t>
  </si>
  <si>
    <t>Homo sapiens troponin C type 1 (slow)</t>
  </si>
  <si>
    <t>NP_003271.1</t>
  </si>
  <si>
    <t>PH_hs_0042370</t>
  </si>
  <si>
    <t>SPR</t>
  </si>
  <si>
    <t>NP_003115.1</t>
  </si>
  <si>
    <t>ENSP00000234454</t>
  </si>
  <si>
    <t>PH_hs_0042376</t>
  </si>
  <si>
    <t>ELL2</t>
  </si>
  <si>
    <t>NP_036213.2</t>
  </si>
  <si>
    <t>PH_hs_0042383</t>
  </si>
  <si>
    <t>TMEM54</t>
  </si>
  <si>
    <t>Homo sapiens transmembrane protein 54 (TMEM54)</t>
  </si>
  <si>
    <t>NP_277039.1</t>
  </si>
  <si>
    <t>PH_hs_0042391</t>
  </si>
  <si>
    <t>EIF2S2</t>
  </si>
  <si>
    <t>NP_003899.2</t>
  </si>
  <si>
    <t>ENST00000374980</t>
  </si>
  <si>
    <t>ENSP00000364119</t>
  </si>
  <si>
    <t>PH_hs_0042396</t>
  </si>
  <si>
    <t>NSRP1</t>
  </si>
  <si>
    <t>Homo sapiens nuclear speckle splicing regulatory protein 1 (NSRP1)</t>
  </si>
  <si>
    <t>PH_hs_0042399</t>
  </si>
  <si>
    <t>PLEKHG3</t>
  </si>
  <si>
    <t>PH_hs_0042402</t>
  </si>
  <si>
    <t>EIF2AK4</t>
  </si>
  <si>
    <t>Homo sapiens eukaryotic translation initiation factor 2 alpha kinase 4 (EIF2AK4)</t>
  </si>
  <si>
    <t>NP_001013725.2</t>
  </si>
  <si>
    <t>PH_hs_0042416</t>
  </si>
  <si>
    <t>TIMM10</t>
  </si>
  <si>
    <t>Homo sapiens translocase of inner mitochondrial membrane 10 homolog (yeast)</t>
  </si>
  <si>
    <t>NP_036588.1</t>
  </si>
  <si>
    <t>PH_hs_0042418</t>
  </si>
  <si>
    <t>ANKRD6</t>
  </si>
  <si>
    <t>Homo sapiens ankyrin repeat domain 6 (ANKRD6)</t>
  </si>
  <si>
    <t>PH_hs_0042420</t>
  </si>
  <si>
    <t>PH_hs_0042421</t>
  </si>
  <si>
    <t>IGF2BP3</t>
  </si>
  <si>
    <t>Homo sapiens insulin-like growth factor 2 mRNA binding protein 3 (IGF2BP3)</t>
  </si>
  <si>
    <t>NP_006538.2</t>
  </si>
  <si>
    <t>PH_hs_0042425</t>
  </si>
  <si>
    <t>IGFBPL1</t>
  </si>
  <si>
    <t>Homo sapiens insulin-like growth factor binding protein-like 1 (IGFBPL1)</t>
  </si>
  <si>
    <t>NP_001007564.1</t>
  </si>
  <si>
    <t>ENST00000377694</t>
  </si>
  <si>
    <t>ENSP00000366923</t>
  </si>
  <si>
    <t>PH_hs_0042428</t>
  </si>
  <si>
    <t>PRKRIR</t>
  </si>
  <si>
    <t>NP_004696.2</t>
  </si>
  <si>
    <t>PH_hs_0042429</t>
  </si>
  <si>
    <t>FDX1</t>
  </si>
  <si>
    <t>Homo sapiens ferredoxin 1 (FDX1)</t>
  </si>
  <si>
    <t>NP_004100.1</t>
  </si>
  <si>
    <t>ENST00000260270</t>
  </si>
  <si>
    <t>ENSP00000260270</t>
  </si>
  <si>
    <t>PH_hs_0042439</t>
  </si>
  <si>
    <t>SRP14</t>
  </si>
  <si>
    <t>Homo sapiens signal recognition particle 14kDa (homologous Alu RNA binding protein)</t>
  </si>
  <si>
    <t>NP_003125.3</t>
  </si>
  <si>
    <t>PH_hs_0042459</t>
  </si>
  <si>
    <t>COMMD3</t>
  </si>
  <si>
    <t>Homo sapiens COMM domain containing 3 (COMMD3)</t>
  </si>
  <si>
    <t>NP_036203.1</t>
  </si>
  <si>
    <t>PH_hs_0042463</t>
  </si>
  <si>
    <t>FAU</t>
  </si>
  <si>
    <t>Homo sapiens Finkel-Biskis-Reilly murine sarcoma virus (FBR-MuSV)</t>
  </si>
  <si>
    <t>NP_001988.1</t>
  </si>
  <si>
    <t>PH_hs_0042471</t>
  </si>
  <si>
    <t>USP12</t>
  </si>
  <si>
    <t>Homo sapiens ubiquitin specific peptidase 12 (USP12)</t>
  </si>
  <si>
    <t>NP_872294.2</t>
  </si>
  <si>
    <t>PH_hs_0042473</t>
  </si>
  <si>
    <t>C16orf74</t>
  </si>
  <si>
    <t>Homo sapiens chromosome 16 open reading frame 74 (C16orf74)</t>
  </si>
  <si>
    <t>NP_996850.1</t>
  </si>
  <si>
    <t>PH_hs_0042478</t>
  </si>
  <si>
    <t>BATF</t>
  </si>
  <si>
    <t>NP_006390.1</t>
  </si>
  <si>
    <t>PH_hs_0042480</t>
  </si>
  <si>
    <t>ANKRD9</t>
  </si>
  <si>
    <t>Homo sapiens ankyrin repeat domain 9 (ANKRD9)</t>
  </si>
  <si>
    <t>NP_689539.1</t>
  </si>
  <si>
    <t>PH_hs_0042494</t>
  </si>
  <si>
    <t>PGLYRP2</t>
  </si>
  <si>
    <t>Homo sapiens peptidoglycan recognition protein 2 (PGLYRP2)</t>
  </si>
  <si>
    <t>NP_443122.3</t>
  </si>
  <si>
    <t>PH_hs_0042497</t>
  </si>
  <si>
    <t>OR7G1</t>
  </si>
  <si>
    <t>NP_001005192.2</t>
  </si>
  <si>
    <t>ENST00000541538</t>
  </si>
  <si>
    <t>ENSP00000444134</t>
  </si>
  <si>
    <t>PH_hs_0042519</t>
  </si>
  <si>
    <t>OR4K2</t>
  </si>
  <si>
    <t>NP_001005501.1</t>
  </si>
  <si>
    <t>ENST00000298642</t>
  </si>
  <si>
    <t>ENSP00000298642</t>
  </si>
  <si>
    <t>PH_hs_0042520</t>
  </si>
  <si>
    <t>RNASE7</t>
  </si>
  <si>
    <t>NP_115961.2</t>
  </si>
  <si>
    <t>PH_hs_0042526</t>
  </si>
  <si>
    <t>OR4D6</t>
  </si>
  <si>
    <t>NP_001004708.1</t>
  </si>
  <si>
    <t>ENST00000300127</t>
  </si>
  <si>
    <t>ENSP00000300127</t>
  </si>
  <si>
    <t>PH_hs_0042530</t>
  </si>
  <si>
    <t>C19orf33</t>
  </si>
  <si>
    <t>Homo sapiens chromosome 19 open reading frame 33 (C19orf33)</t>
  </si>
  <si>
    <t>NP_277055.1</t>
  </si>
  <si>
    <t>PH_hs_0042533</t>
  </si>
  <si>
    <t>FEN1</t>
  </si>
  <si>
    <t>Homo sapiens flap structure-specific endonuclease 1 (FEN1)</t>
  </si>
  <si>
    <t>NP_004102.1</t>
  </si>
  <si>
    <t>PH_hs_0042539</t>
  </si>
  <si>
    <t>OR10G3</t>
  </si>
  <si>
    <t>NP_001005465.1</t>
  </si>
  <si>
    <t>ENST00000303532</t>
  </si>
  <si>
    <t>ENSP00000302437</t>
  </si>
  <si>
    <t>PH_hs_0042547</t>
  </si>
  <si>
    <t>OR9K2</t>
  </si>
  <si>
    <t>NP_001005243.1</t>
  </si>
  <si>
    <t>ENST00000305377</t>
  </si>
  <si>
    <t>ENSP00000307598</t>
  </si>
  <si>
    <t>PH_hs_0042548</t>
  </si>
  <si>
    <t>MURC</t>
  </si>
  <si>
    <t>Homo sapiens muscle-related coiled-coil protein (MURC)</t>
  </si>
  <si>
    <t>NP_001018126.1</t>
  </si>
  <si>
    <t>ENST00000307584</t>
  </si>
  <si>
    <t>ENSP00000418668</t>
  </si>
  <si>
    <t>PH_hs_0042555</t>
  </si>
  <si>
    <t>PLAC1</t>
  </si>
  <si>
    <t>Homo sapiens placenta-specific 1 (PLAC1)</t>
  </si>
  <si>
    <t>NP_068568.1</t>
  </si>
  <si>
    <t>ENSP00000352173</t>
  </si>
  <si>
    <t>PH_hs_0042571</t>
  </si>
  <si>
    <t>OR4C11</t>
  </si>
  <si>
    <t>NP_001004700.2</t>
  </si>
  <si>
    <t>ENST00000302231</t>
  </si>
  <si>
    <t>ENSP00000306651</t>
  </si>
  <si>
    <t>PH_hs_0042592</t>
  </si>
  <si>
    <t>ZDHHC24</t>
  </si>
  <si>
    <t>NP_997223.1</t>
  </si>
  <si>
    <t>PH_hs_0042595</t>
  </si>
  <si>
    <t>EVX2</t>
  </si>
  <si>
    <t>Homo sapiens even-skipped homeobox 2 (EVX2)</t>
  </si>
  <si>
    <t>NP_001073927.1</t>
  </si>
  <si>
    <t>ENST00000308618</t>
  </si>
  <si>
    <t>ENSP00000312385</t>
  </si>
  <si>
    <t>PH_hs_0042600</t>
  </si>
  <si>
    <t>PCP2</t>
  </si>
  <si>
    <t>Homo sapiens Purkinje cell protein 2 (PCP2)</t>
  </si>
  <si>
    <t>NP_777555.1</t>
  </si>
  <si>
    <t>PH_hs_0042602</t>
  </si>
  <si>
    <t>OR5R1</t>
  </si>
  <si>
    <t>NP_001004744.1</t>
  </si>
  <si>
    <t>ENST00000312253</t>
  </si>
  <si>
    <t>ENSP00000308595</t>
  </si>
  <si>
    <t>PH_hs_0042604</t>
  </si>
  <si>
    <t>OR4S2</t>
  </si>
  <si>
    <t>NP_001004059.2</t>
  </si>
  <si>
    <t>ENST00000312422</t>
  </si>
  <si>
    <t>ENSP00000310337</t>
  </si>
  <si>
    <t>PH_hs_0042606</t>
  </si>
  <si>
    <t>TEX36</t>
  </si>
  <si>
    <t>Homo sapiens testis expressed 36 (TEX36)</t>
  </si>
  <si>
    <t>NP_001121674.1</t>
  </si>
  <si>
    <t>PH_hs_0042611</t>
  </si>
  <si>
    <t>OR10P1</t>
  </si>
  <si>
    <t>NP_996782.1</t>
  </si>
  <si>
    <t>ENST00000309675</t>
  </si>
  <si>
    <t>ENSP00000308082</t>
  </si>
  <si>
    <t>PH_hs_0042647</t>
  </si>
  <si>
    <t>RPL13AP3</t>
  </si>
  <si>
    <t>Homo sapiens ribosomal protein L13a pseudogene 3 (RPL13AP3)</t>
  </si>
  <si>
    <t>PH_hs_0042649</t>
  </si>
  <si>
    <t>OR2G2</t>
  </si>
  <si>
    <t>NP_001001915.1</t>
  </si>
  <si>
    <t>ENST00000320065</t>
  </si>
  <si>
    <t>ENSP00000326349</t>
  </si>
  <si>
    <t>PH_hs_0042659</t>
  </si>
  <si>
    <t>PSAPL1</t>
  </si>
  <si>
    <t>Homo sapiens prosaposin-like 1 (gene/pseudogene)</t>
  </si>
  <si>
    <t>NP_001078851.1</t>
  </si>
  <si>
    <t>ENST00000319098</t>
  </si>
  <si>
    <t>ENSP00000317445</t>
  </si>
  <si>
    <t>PH_hs_0042664</t>
  </si>
  <si>
    <t>EXOC3L1</t>
  </si>
  <si>
    <t>Homo sapiens exocyst complex component 3-like 1 (EXOC3L1)</t>
  </si>
  <si>
    <t>NP_848611.2</t>
  </si>
  <si>
    <t>PH_hs_0042670</t>
  </si>
  <si>
    <t>CITED4</t>
  </si>
  <si>
    <t>NP_597724.1</t>
  </si>
  <si>
    <t>ENST00000372638</t>
  </si>
  <si>
    <t>ENSP00000361721</t>
  </si>
  <si>
    <t>PH_hs_0042716</t>
  </si>
  <si>
    <t>C16orf72</t>
  </si>
  <si>
    <t>Homo sapiens chromosome 16 open reading frame 72 (C16orf72)</t>
  </si>
  <si>
    <t>NP_054836.2</t>
  </si>
  <si>
    <t>PH_hs_0042733</t>
  </si>
  <si>
    <t>NDUFB1</t>
  </si>
  <si>
    <t>NP_004536.2</t>
  </si>
  <si>
    <t>PH_hs_0042737</t>
  </si>
  <si>
    <t>NUDT14</t>
  </si>
  <si>
    <t>NP_803877.2</t>
  </si>
  <si>
    <t>PH_hs_0042749</t>
  </si>
  <si>
    <t>APOBR</t>
  </si>
  <si>
    <t>Homo sapiens apolipoprotein B receptor (APOBR)</t>
  </si>
  <si>
    <t>NP_061160.3</t>
  </si>
  <si>
    <t>PH_hs_0042757</t>
  </si>
  <si>
    <t>SNAI3</t>
  </si>
  <si>
    <t>Homo sapiens snail family zinc finger 3 (SNAI3)</t>
  </si>
  <si>
    <t>NP_840101.1</t>
  </si>
  <si>
    <t>ENST00000332281</t>
  </si>
  <si>
    <t>ENSP00000327968</t>
  </si>
  <si>
    <t>PH_hs_0042785</t>
  </si>
  <si>
    <t>NANOS3</t>
  </si>
  <si>
    <t>Homo sapiens nanos homolog 3 (Drosophila)</t>
  </si>
  <si>
    <t>NP_001092092.1</t>
  </si>
  <si>
    <t>PH_hs_0042799</t>
  </si>
  <si>
    <t>SLC24A5</t>
  </si>
  <si>
    <t>NP_995322.1</t>
  </si>
  <si>
    <t>PH_hs_0042829</t>
  </si>
  <si>
    <t>HIST1H2AI</t>
  </si>
  <si>
    <t>NP_003500.1</t>
  </si>
  <si>
    <t>ENST00000358739</t>
  </si>
  <si>
    <t>ENSP00000351589</t>
  </si>
  <si>
    <t>PH_hs_0042852</t>
  </si>
  <si>
    <t>OR6C74</t>
  </si>
  <si>
    <t>NP_001005490.1</t>
  </si>
  <si>
    <t>ENST00000343870</t>
  </si>
  <si>
    <t>ENSP00000342836</t>
  </si>
  <si>
    <t>PH_hs_0042861</t>
  </si>
  <si>
    <t>HIST1H3A</t>
  </si>
  <si>
    <t>NP_003520.1</t>
  </si>
  <si>
    <t>ENST00000613854</t>
  </si>
  <si>
    <t>ENSP00000480826</t>
  </si>
  <si>
    <t>PH_hs_0042862</t>
  </si>
  <si>
    <t>HIST1H2AL</t>
  </si>
  <si>
    <t>NP_003502.1</t>
  </si>
  <si>
    <t>ENST00000613174</t>
  </si>
  <si>
    <t>ENSP00000482538</t>
  </si>
  <si>
    <t>PH_hs_0042870</t>
  </si>
  <si>
    <t>SERTAD4-AS1</t>
  </si>
  <si>
    <t>Homo sapiens SERTAD4 antisense RNA 1 (SERTAD4-AS1)</t>
  </si>
  <si>
    <t>PH_hs_0042871</t>
  </si>
  <si>
    <t>SAMD5</t>
  </si>
  <si>
    <t>Homo sapiens sterile alpha motif domain containing 5 (SAMD5)</t>
  </si>
  <si>
    <t>NP_001025231.1</t>
  </si>
  <si>
    <t>PH_hs_0042874</t>
  </si>
  <si>
    <t>CENPW</t>
  </si>
  <si>
    <t>Homo sapiens centromere protein W (CENPW)</t>
  </si>
  <si>
    <t>NP_001012525.1</t>
  </si>
  <si>
    <t>PH_hs_0042876</t>
  </si>
  <si>
    <t>RIPPLY2</t>
  </si>
  <si>
    <t>Homo sapiens ripply transcriptional repressor 2 (RIPPLY2)</t>
  </si>
  <si>
    <t>NP_001009994.1</t>
  </si>
  <si>
    <t>PH_hs_0042885</t>
  </si>
  <si>
    <t>OXLD1</t>
  </si>
  <si>
    <t>Homo sapiens oxidoreductase-like domain containing 1 (OXLD1)</t>
  </si>
  <si>
    <t>NP_001034931.1</t>
  </si>
  <si>
    <t>PH_hs_0042905</t>
  </si>
  <si>
    <t>SYCE1L</t>
  </si>
  <si>
    <t>Homo sapiens synaptonemal complex central element protein 1-like (SYCE1L)</t>
  </si>
  <si>
    <t>NP_001123451.1</t>
  </si>
  <si>
    <t>PH_hs_0042908</t>
  </si>
  <si>
    <t>SDHAF1</t>
  </si>
  <si>
    <t>Homo sapiens succinate dehydrogenase complex assembly factor 1 (SDHAF1)</t>
  </si>
  <si>
    <t>NP_001036096.1</t>
  </si>
  <si>
    <t>ENST00000378887</t>
  </si>
  <si>
    <t>ENSP00000368165</t>
  </si>
  <si>
    <t>PH_hs_0042921</t>
  </si>
  <si>
    <t>MANSC4</t>
  </si>
  <si>
    <t>Homo sapiens MANSC domain containing 4 (MANSC4)</t>
  </si>
  <si>
    <t>NP_001139693.1</t>
  </si>
  <si>
    <t>ENST00000381273</t>
  </si>
  <si>
    <t>ENSP00000370673</t>
  </si>
  <si>
    <t>PH_hs_0042922</t>
  </si>
  <si>
    <t>LYRM5</t>
  </si>
  <si>
    <t>Homo sapiens LYR motif containing 5 (LYRM5)</t>
  </si>
  <si>
    <t>NP_001001660.2</t>
  </si>
  <si>
    <t>PH_hs_0042939</t>
  </si>
  <si>
    <t>TMEM200C</t>
  </si>
  <si>
    <t>Homo sapiens transmembrane protein 200C (TMEM200C)</t>
  </si>
  <si>
    <t>NP_001073678.1</t>
  </si>
  <si>
    <t>PH_hs_0042943</t>
  </si>
  <si>
    <t>TCTEX1D2</t>
  </si>
  <si>
    <t>Homo sapiens Tctex1 domain containing 2 (TCTEX1D2)</t>
  </si>
  <si>
    <t>NP_689986.2</t>
  </si>
  <si>
    <t>PH_hs_0042962</t>
  </si>
  <si>
    <t>MSMP</t>
  </si>
  <si>
    <t>NP_001037729.1</t>
  </si>
  <si>
    <t>ENSP00000419194</t>
  </si>
  <si>
    <t>PH_hs_0042972</t>
  </si>
  <si>
    <t>RNASEK|RNASEK-C17orf49</t>
  </si>
  <si>
    <t>440400|100529209</t>
  </si>
  <si>
    <t>PH_hs_0042979</t>
  </si>
  <si>
    <t>ARIH2OS</t>
  </si>
  <si>
    <t>Homo sapiens ariadne homolog 2 opposite strand (ARIH2OS)</t>
  </si>
  <si>
    <t>NP_001116512.1</t>
  </si>
  <si>
    <t>ENST00000408959</t>
  </si>
  <si>
    <t>ENSP00000386193</t>
  </si>
  <si>
    <t>PH_hs_0042994</t>
  </si>
  <si>
    <t>C17orf89</t>
  </si>
  <si>
    <t>Homo sapiens chromosome 17 open reading frame 89 (C17orf89)</t>
  </si>
  <si>
    <t>NP_001079990.1</t>
  </si>
  <si>
    <t>PH_hs_0043014</t>
  </si>
  <si>
    <t>PLSCR5</t>
  </si>
  <si>
    <t>NP_001078889.1</t>
  </si>
  <si>
    <t>PH_hs_0043039</t>
  </si>
  <si>
    <t>C3orf79</t>
  </si>
  <si>
    <t>Homo sapiens chromosome 3 open reading frame 79 (C3orf79)</t>
  </si>
  <si>
    <t>NP_001094807.1</t>
  </si>
  <si>
    <t>PH_hs_0043050</t>
  </si>
  <si>
    <t>PH_hs_0043052</t>
  </si>
  <si>
    <t>PH_hs_0043060</t>
  </si>
  <si>
    <t>PH_hs_0043070</t>
  </si>
  <si>
    <t>ZDHHC23</t>
  </si>
  <si>
    <t>NP_775841.2</t>
  </si>
  <si>
    <t>PH_hs_0043076</t>
  </si>
  <si>
    <t>PH_hs_0043077</t>
  </si>
  <si>
    <t>PH_hs_0043084</t>
  </si>
  <si>
    <t>CCDC150</t>
  </si>
  <si>
    <t>Homo sapiens coiled-coil domain containing 150 (CCDC150)</t>
  </si>
  <si>
    <t>NP_001074008.1</t>
  </si>
  <si>
    <t>PH_hs_0043092</t>
  </si>
  <si>
    <t>DCUN1D1</t>
  </si>
  <si>
    <t>NP_065691.2</t>
  </si>
  <si>
    <t>PH_hs_0043093</t>
  </si>
  <si>
    <t>PH_hs_0043103</t>
  </si>
  <si>
    <t>DDX59</t>
  </si>
  <si>
    <t>NP_001026895.2</t>
  </si>
  <si>
    <t>PH_hs_0043104</t>
  </si>
  <si>
    <t>PH_hs_0043118</t>
  </si>
  <si>
    <t>DRC1</t>
  </si>
  <si>
    <t>Homo sapiens dynein regulatory complex subunit 1 (DRC1)</t>
  </si>
  <si>
    <t>NP_659475.2</t>
  </si>
  <si>
    <t>PH_hs_0043133</t>
  </si>
  <si>
    <t>P2RY1</t>
  </si>
  <si>
    <t>NP_002554.1</t>
  </si>
  <si>
    <t>ENST00000305097</t>
  </si>
  <si>
    <t>ENSP00000304767</t>
  </si>
  <si>
    <t>PH_hs_0043137</t>
  </si>
  <si>
    <t>FAM69A</t>
  </si>
  <si>
    <t>PH_hs_0043145</t>
  </si>
  <si>
    <t>PH_hs_0043150</t>
  </si>
  <si>
    <t>PH_hs_0043180</t>
  </si>
  <si>
    <t>PH_hs_0043182</t>
  </si>
  <si>
    <t>PH_hs_0043186</t>
  </si>
  <si>
    <t>PH_hs_0043187</t>
  </si>
  <si>
    <t>PH_hs_0043191</t>
  </si>
  <si>
    <t>PH_hs_0043193</t>
  </si>
  <si>
    <t>PH_hs_0043195</t>
  </si>
  <si>
    <t>PH_hs_0043196</t>
  </si>
  <si>
    <t>FABP7</t>
  </si>
  <si>
    <t>NP_001437.1</t>
  </si>
  <si>
    <t>PH_hs_0043235</t>
  </si>
  <si>
    <t>PH_hs_0043236</t>
  </si>
  <si>
    <t>PH_hs_0043240</t>
  </si>
  <si>
    <t>WDFY1</t>
  </si>
  <si>
    <t>Homo sapiens WD repeat and FYVE domain containing 1 (WDFY1)</t>
  </si>
  <si>
    <t>NP_065881.1</t>
  </si>
  <si>
    <t>PH_hs_0043258</t>
  </si>
  <si>
    <t>THUMPD1</t>
  </si>
  <si>
    <t>Homo sapiens THUMP domain containing 1 (THUMPD1)</t>
  </si>
  <si>
    <t>NP_060206.2</t>
  </si>
  <si>
    <t>PH_hs_0043294</t>
  </si>
  <si>
    <t>NDUFS7</t>
  </si>
  <si>
    <t>NP_077718.3</t>
  </si>
  <si>
    <t>PH_hs_0043313</t>
  </si>
  <si>
    <t>ROMO1</t>
  </si>
  <si>
    <t>Homo sapiens reactive oxygen species modulator 1 (ROMO1)</t>
  </si>
  <si>
    <t>NP_542786.1</t>
  </si>
  <si>
    <t>PH_hs_0043321</t>
  </si>
  <si>
    <t>MRPS25</t>
  </si>
  <si>
    <t>Homo sapiens mitochondrial ribosomal protein S25 (MRPS25)</t>
  </si>
  <si>
    <t>NP_071942.1</t>
  </si>
  <si>
    <t>PH_hs_0043330</t>
  </si>
  <si>
    <t>IFI44</t>
  </si>
  <si>
    <t>Homo sapiens interferon-induced protein 44 (IFI44)</t>
  </si>
  <si>
    <t>NP_006408.3</t>
  </si>
  <si>
    <t>PH_hs_0043331</t>
  </si>
  <si>
    <t>SCARB2</t>
  </si>
  <si>
    <t>PH_hs_0043335</t>
  </si>
  <si>
    <t>TPGS1</t>
  </si>
  <si>
    <t>Homo sapiens tubulin polyglutamylase complex subunit 1 (TPGS1)</t>
  </si>
  <si>
    <t>NP_277048.2</t>
  </si>
  <si>
    <t>ENSP00000352265</t>
  </si>
  <si>
    <t>PH_hs_0043339</t>
  </si>
  <si>
    <t>RIT1</t>
  </si>
  <si>
    <t>Homo sapiens Ras-like without CAAX 1 (RIT1)</t>
  </si>
  <si>
    <t>PH_hs_0043344</t>
  </si>
  <si>
    <t>FBXL17</t>
  </si>
  <si>
    <t>Homo sapiens F-box and leucine-rich repeat protein 17 (FBXL17)</t>
  </si>
  <si>
    <t>NP_001156787.2</t>
  </si>
  <si>
    <t>PH_hs_0043345</t>
  </si>
  <si>
    <t>CRIP3</t>
  </si>
  <si>
    <t>Homo sapiens cysteine-rich protein 3 (CRIP3)</t>
  </si>
  <si>
    <t>NP_996805.2</t>
  </si>
  <si>
    <t>PH_hs_0043347</t>
  </si>
  <si>
    <t>AIG1</t>
  </si>
  <si>
    <t>Homo sapiens androgen-induced 1 (AIG1)</t>
  </si>
  <si>
    <t>NP_057192.2</t>
  </si>
  <si>
    <t>PH_hs_0043350</t>
  </si>
  <si>
    <t>GSTO1</t>
  </si>
  <si>
    <t>Homo sapiens glutathione S-transferase omega 1 (GSTO1)</t>
  </si>
  <si>
    <t>PH_hs_0043360</t>
  </si>
  <si>
    <t>IWS1</t>
  </si>
  <si>
    <t>Homo sapiens IWS1 homolog (S. cerevisiae)</t>
  </si>
  <si>
    <t>NP_060439.2</t>
  </si>
  <si>
    <t>PH_hs_0043365</t>
  </si>
  <si>
    <t>SLC25A46</t>
  </si>
  <si>
    <t>NP_620128.1</t>
  </si>
  <si>
    <t>FAM26D</t>
  </si>
  <si>
    <t>PH_hs_0043371</t>
  </si>
  <si>
    <t>DYNLT3</t>
  </si>
  <si>
    <t>NP_006511.1</t>
  </si>
  <si>
    <t>PH_hs_0043373</t>
  </si>
  <si>
    <t>NDUFB8</t>
  </si>
  <si>
    <t>NP_004995.1</t>
  </si>
  <si>
    <t>PH_hs_0043380</t>
  </si>
  <si>
    <t>ZNF444</t>
  </si>
  <si>
    <t>Homo sapiens zinc finger protein 444 (ZNF444)</t>
  </si>
  <si>
    <t>PH_hs_0043386</t>
  </si>
  <si>
    <t>TBCA</t>
  </si>
  <si>
    <t>Homo sapiens tubulin folding cofactor A (TBCA)</t>
  </si>
  <si>
    <t>NP_004598.1</t>
  </si>
  <si>
    <t>PH_hs_0043387</t>
  </si>
  <si>
    <t>PPIH</t>
  </si>
  <si>
    <t>Homo sapiens peptidylprolyl isomerase H (cyclophilin H)</t>
  </si>
  <si>
    <t>NP_006338.1</t>
  </si>
  <si>
    <t>PH_hs_0043404</t>
  </si>
  <si>
    <t>DNM1P46</t>
  </si>
  <si>
    <t>Homo sapiens dynamin 1 pseudogene 46 (DNM1P46)</t>
  </si>
  <si>
    <t>PH_hs_0043409</t>
  </si>
  <si>
    <t>TMEM255B</t>
  </si>
  <si>
    <t>Homo sapiens transmembrane protein 255B (TMEM255B)</t>
  </si>
  <si>
    <t>NP_872420.1</t>
  </si>
  <si>
    <t>PH_hs_0043419</t>
  </si>
  <si>
    <t>FAM183A</t>
  </si>
  <si>
    <t>NP_001094846.2</t>
  </si>
  <si>
    <t>PH_hs_0043434</t>
  </si>
  <si>
    <t>CAPZA2</t>
  </si>
  <si>
    <t>NP_006127.1</t>
  </si>
  <si>
    <t>PH_hs_0043435</t>
  </si>
  <si>
    <t>COX20</t>
  </si>
  <si>
    <t>Homo sapiens COX20 cytochrome c oxidase assembly factor (COX20)</t>
  </si>
  <si>
    <t>NP_932342.1</t>
  </si>
  <si>
    <t>PH_hs_0043476</t>
  </si>
  <si>
    <t>PH_hs_0043478</t>
  </si>
  <si>
    <t>PH_hs_0043497</t>
  </si>
  <si>
    <t>PH_hs_0043526</t>
  </si>
  <si>
    <t>PH_hs_0043528</t>
  </si>
  <si>
    <t>PH_hs_0043543</t>
  </si>
  <si>
    <t>PH_hs_0043551</t>
  </si>
  <si>
    <t>PH_hs_0043563</t>
  </si>
  <si>
    <t>PH_hs_0043569</t>
  </si>
  <si>
    <t>PH_hs_0043572</t>
  </si>
  <si>
    <t>SNORA4</t>
  </si>
  <si>
    <t>ENST00000584302</t>
  </si>
  <si>
    <t>PH_hs_0043581</t>
  </si>
  <si>
    <t>PH_hs_0043582</t>
  </si>
  <si>
    <t>PH_hs_0043592</t>
  </si>
  <si>
    <t>PH_hs_0043603</t>
  </si>
  <si>
    <t>PH_hs_0043604</t>
  </si>
  <si>
    <t>PH_hs_0043605</t>
  </si>
  <si>
    <t>PH_hs_0043609</t>
  </si>
  <si>
    <t>PH_hs_0043619</t>
  </si>
  <si>
    <t>PH_hs_0043621</t>
  </si>
  <si>
    <t>CSAG1</t>
  </si>
  <si>
    <t>Homo sapiens chondrosarcoma associated gene 1 (CSAG1)</t>
  </si>
  <si>
    <t>PH_hs_0043650</t>
  </si>
  <si>
    <t>PH_hs_0043667</t>
  </si>
  <si>
    <t>PKM</t>
  </si>
  <si>
    <t>PH_hs_0043676</t>
  </si>
  <si>
    <t>PH_hs_0043677</t>
  </si>
  <si>
    <t>UBA5</t>
  </si>
  <si>
    <t>Homo sapiens ubiquitin-like modifier activating enzyme 5 (UBA5)</t>
  </si>
  <si>
    <t>PH_hs_0043685</t>
  </si>
  <si>
    <t>IZUMO4</t>
  </si>
  <si>
    <t>Homo sapiens IZUMO family member 4 (IZUMO4)</t>
  </si>
  <si>
    <t>PH_hs_0043686</t>
  </si>
  <si>
    <t>PH_hs_0043687</t>
  </si>
  <si>
    <t>CENPM</t>
  </si>
  <si>
    <t>Homo sapiens centromere protein M (CENPM)</t>
  </si>
  <si>
    <t>PH_hs_0043690</t>
  </si>
  <si>
    <t>SNORD43</t>
  </si>
  <si>
    <t>ENST00000583861</t>
  </si>
  <si>
    <t>PH_hs_0043693</t>
  </si>
  <si>
    <t>ARHGAP5</t>
  </si>
  <si>
    <t>Homo sapiens Rho GTPase activating protein 5 (ARHGAP5)</t>
  </si>
  <si>
    <t>PH_hs_0043694</t>
  </si>
  <si>
    <t>HM13</t>
  </si>
  <si>
    <t>NP_848697.1</t>
  </si>
  <si>
    <t>PH_hs_0043698</t>
  </si>
  <si>
    <t>UBE2W</t>
  </si>
  <si>
    <t>Homo sapiens ubiquitin-conjugating enzyme E2W (putative)</t>
  </si>
  <si>
    <t>PH_hs_0043711</t>
  </si>
  <si>
    <t>ACTA2</t>
  </si>
  <si>
    <t>PH_hs_0043717</t>
  </si>
  <si>
    <t>MTRF1L</t>
  </si>
  <si>
    <t>Homo sapiens mitochondrial translational release factor 1-like (MTRF1L)</t>
  </si>
  <si>
    <t>PH_hs_0043719</t>
  </si>
  <si>
    <t>HMGCS1</t>
  </si>
  <si>
    <t>Homo sapiens 3-hydroxy-3-methylglutaryl-CoA synthase 1 (soluble)</t>
  </si>
  <si>
    <t>PH_hs_0043726</t>
  </si>
  <si>
    <t>ACYP1</t>
  </si>
  <si>
    <t>NP_001098.1</t>
  </si>
  <si>
    <t>PH_hs_0043729</t>
  </si>
  <si>
    <t>PILRB|STAG3L5P-PVRIG2P-PILRB</t>
  </si>
  <si>
    <t>Homo sapiens paired immunoglobin-like type 2 receptor beta (PILRB)|Homo sapiens STAG3L5P-PVRIG2P-PILRB readthrough (STAG3L5P-PVRIG2P-PILRB)</t>
  </si>
  <si>
    <t>29990|101752399</t>
  </si>
  <si>
    <t>ENSG00000121716|ENSG00000272752</t>
  </si>
  <si>
    <t>PH_hs_0043733</t>
  </si>
  <si>
    <t>7-Sep</t>
  </si>
  <si>
    <t>Homo sapiens septin 7 (SEPT7)</t>
  </si>
  <si>
    <t>PH_hs_0043735</t>
  </si>
  <si>
    <t>PFDN5</t>
  </si>
  <si>
    <t>Homo sapiens prefoldin subunit 5 (PFDN5)</t>
  </si>
  <si>
    <t>PH_hs_0043744</t>
  </si>
  <si>
    <t>CITED1</t>
  </si>
  <si>
    <t>PH_hs_0043767</t>
  </si>
  <si>
    <t>HS6ST1</t>
  </si>
  <si>
    <t>Homo sapiens heparan sulfate 6-O-sulfotransferase 1 (HS6ST1)</t>
  </si>
  <si>
    <t>NP_004798.3</t>
  </si>
  <si>
    <t>ENSP00000259241</t>
  </si>
  <si>
    <t>PH_hs_0043775</t>
  </si>
  <si>
    <t>USP8</t>
  </si>
  <si>
    <t>Homo sapiens ubiquitin specific peptidase 8 (USP8)</t>
  </si>
  <si>
    <t>PH_hs_0043781</t>
  </si>
  <si>
    <t>ADAM21</t>
  </si>
  <si>
    <t>Homo sapiens ADAM metallopeptidase domain 21 (ADAM21)</t>
  </si>
  <si>
    <t>NP_003804.2</t>
  </si>
  <si>
    <t>ENST00000603540</t>
  </si>
  <si>
    <t>ENSP00000474385</t>
  </si>
  <si>
    <t>PH_hs_0043789</t>
  </si>
  <si>
    <t>TPM3</t>
  </si>
  <si>
    <t>Homo sapiens tropomyosin 3 (TPM3)</t>
  </si>
  <si>
    <t>NP_689476.2</t>
  </si>
  <si>
    <t>PH_hs_0043791</t>
  </si>
  <si>
    <t>RPS27A</t>
  </si>
  <si>
    <t>Homo sapiens ribosomal protein S27a (RPS27A)</t>
  </si>
  <si>
    <t>NP_002945.1</t>
  </si>
  <si>
    <t>PH_hs_0043794</t>
  </si>
  <si>
    <t>RPL32</t>
  </si>
  <si>
    <t>Homo sapiens ribosomal protein L32 (RPL32)</t>
  </si>
  <si>
    <t>PH_hs_0043803</t>
  </si>
  <si>
    <t>NDUFB11</t>
  </si>
  <si>
    <t>DIAPH2</t>
  </si>
  <si>
    <t>Homo sapiens diaphanous-related formin 2 (DIAPH2)</t>
  </si>
  <si>
    <t>PH_hs_0043808</t>
  </si>
  <si>
    <t>HERC4</t>
  </si>
  <si>
    <t>Homo sapiens HECT and RLD domain containing E3 ubiquitin protein ligase 4 (HERC4)</t>
  </si>
  <si>
    <t>PH_hs_0043812</t>
  </si>
  <si>
    <t>TAGLN</t>
  </si>
  <si>
    <t>Homo sapiens transgelin (TAGLN)</t>
  </si>
  <si>
    <t>PH_hs_0043818</t>
  </si>
  <si>
    <t>RBMS1</t>
  </si>
  <si>
    <t>PH_hs_0043819</t>
  </si>
  <si>
    <t>INO80C</t>
  </si>
  <si>
    <t>Homo sapiens INO80 complex subunit C (INO80C)</t>
  </si>
  <si>
    <t>PH_hs_0043831</t>
  </si>
  <si>
    <t>SON</t>
  </si>
  <si>
    <t>Homo sapiens SON DNA binding protein (SON)</t>
  </si>
  <si>
    <t>NP_620305.2</t>
  </si>
  <si>
    <t>U2AF1</t>
  </si>
  <si>
    <t>Homo sapiens U2 small nuclear RNA auxiliary factor 1 (U2AF1)</t>
  </si>
  <si>
    <t>ENST00000398137</t>
  </si>
  <si>
    <t>ENSP00000381205</t>
  </si>
  <si>
    <t>EIF4A1|SENP3-EIF4A1</t>
  </si>
  <si>
    <t>Homo sapiens eukaryotic translation initiation factor 4A1 (EIF4A1)|Homo sapiens SENP3-EIF4A1 readthrough (NMD candidate)</t>
  </si>
  <si>
    <t>1973|100533955</t>
  </si>
  <si>
    <t>PH_hs_0043843</t>
  </si>
  <si>
    <t>AK4</t>
  </si>
  <si>
    <t>Homo sapiens adenylate kinase 4 (AK4)</t>
  </si>
  <si>
    <t>PH_hs_0043851</t>
  </si>
  <si>
    <t>RPL9</t>
  </si>
  <si>
    <t>Homo sapiens ribosomal protein L9 (RPL9)</t>
  </si>
  <si>
    <t>NP_001020092.1</t>
  </si>
  <si>
    <t>YWHAZ</t>
  </si>
  <si>
    <t>PH_hs_0043855</t>
  </si>
  <si>
    <t>SUGT1</t>
  </si>
  <si>
    <t>PH_hs_0043862</t>
  </si>
  <si>
    <t>CYB5A</t>
  </si>
  <si>
    <t>Homo sapiens cytochrome b5 type A (microsomal)</t>
  </si>
  <si>
    <t>NP_001905.1</t>
  </si>
  <si>
    <t>PH_hs_0043865</t>
  </si>
  <si>
    <t>POP5</t>
  </si>
  <si>
    <t>PH_hs_0043867</t>
  </si>
  <si>
    <t>ATP5H</t>
  </si>
  <si>
    <t>PH_hs_0043868</t>
  </si>
  <si>
    <t>TMEM88</t>
  </si>
  <si>
    <t>Homo sapiens transmembrane protein 88 (TMEM88)</t>
  </si>
  <si>
    <t>NP_981956.1</t>
  </si>
  <si>
    <t>PH_hs_0043869</t>
  </si>
  <si>
    <t>FTH1</t>
  </si>
  <si>
    <t>NP_002023.2</t>
  </si>
  <si>
    <t>TTC39C</t>
  </si>
  <si>
    <t>Homo sapiens tetratricopeptide repeat domain 39C (TTC39C)</t>
  </si>
  <si>
    <t>PH_hs_0043879</t>
  </si>
  <si>
    <t>NRTN</t>
  </si>
  <si>
    <t>Homo sapiens neurturin (NRTN)</t>
  </si>
  <si>
    <t>NP_004549.1</t>
  </si>
  <si>
    <t>ENST00000303212</t>
  </si>
  <si>
    <t>ENSP00000302648</t>
  </si>
  <si>
    <t>PH_hs_0043882</t>
  </si>
  <si>
    <t>RPL38</t>
  </si>
  <si>
    <t>Homo sapiens ribosomal protein L38 (RPL38)</t>
  </si>
  <si>
    <t>NP_000990.1</t>
  </si>
  <si>
    <t>GLRX</t>
  </si>
  <si>
    <t>Homo sapiens glutaredoxin (thioltransferase)</t>
  </si>
  <si>
    <t>PH_hs_0043889</t>
  </si>
  <si>
    <t>PH_hs_0043896</t>
  </si>
  <si>
    <t>TOMM5</t>
  </si>
  <si>
    <t>Homo sapiens translocase of outer mitochondrial membrane 5 homolog (yeast)</t>
  </si>
  <si>
    <t>PH_hs_0043912</t>
  </si>
  <si>
    <t>PSMG4</t>
  </si>
  <si>
    <t>PH_hs_0043913</t>
  </si>
  <si>
    <t>TRAPPC5</t>
  </si>
  <si>
    <t>Homo sapiens trafficking protein particle complex 5 (TRAPPC5)</t>
  </si>
  <si>
    <t>YBEY</t>
  </si>
  <si>
    <t>Homo sapiens ybeY metallopeptidase (putative)</t>
  </si>
  <si>
    <t>SHOX</t>
  </si>
  <si>
    <t>Homo sapiens short stature homeobox (SHOX)</t>
  </si>
  <si>
    <t>PH_hs_0043942</t>
  </si>
  <si>
    <t>ZNF682</t>
  </si>
  <si>
    <t>Homo sapiens zinc finger protein 682 (ZNF682)</t>
  </si>
  <si>
    <t>PH_hs_0043944</t>
  </si>
  <si>
    <t>C1D</t>
  </si>
  <si>
    <t>Homo sapiens C1D nuclear receptor corepressor (C1D)</t>
  </si>
  <si>
    <t>NP_006324.1</t>
  </si>
  <si>
    <t>ZNF780A</t>
  </si>
  <si>
    <t>Homo sapiens zinc finger protein 780A (ZNF780A)</t>
  </si>
  <si>
    <t>PH_hs_0043951</t>
  </si>
  <si>
    <t>ZNF876P</t>
  </si>
  <si>
    <t>PH_hs_0043954</t>
  </si>
  <si>
    <t>CD247</t>
  </si>
  <si>
    <t>Homo sapiens CD247 molecule (CD247)</t>
  </si>
  <si>
    <t>PH_hs_0043967</t>
  </si>
  <si>
    <t>IGFL2</t>
  </si>
  <si>
    <t>Homo sapiens IGF-like family member 2 (IGFL2)</t>
  </si>
  <si>
    <t>PH_hs_0043994</t>
  </si>
  <si>
    <t>TSPAN4</t>
  </si>
  <si>
    <t>Homo sapiens tetraspanin 4 (TSPAN4)</t>
  </si>
  <si>
    <t>PH_hs_0043996</t>
  </si>
  <si>
    <t>SH3D21</t>
  </si>
  <si>
    <t>Homo sapiens SH3 domain containing 21 (SH3D21)</t>
  </si>
  <si>
    <t>PH_hs_0044011</t>
  </si>
  <si>
    <t>FAM19A5</t>
  </si>
  <si>
    <t>PH_hs_0044015</t>
  </si>
  <si>
    <t>POTEM</t>
  </si>
  <si>
    <t>NP_001138914.1</t>
  </si>
  <si>
    <t>PH_hs_0044059</t>
  </si>
  <si>
    <t>ENSG00000232112</t>
  </si>
  <si>
    <t>ENSP00000397843</t>
  </si>
  <si>
    <t>PH_hs_0044062</t>
  </si>
  <si>
    <t>GPX1</t>
  </si>
  <si>
    <t>Homo sapiens glutathione peroxidase 1 (GPX1)</t>
  </si>
  <si>
    <t>PH_hs_0044075</t>
  </si>
  <si>
    <t>C19orf81</t>
  </si>
  <si>
    <t>Homo sapiens chromosome 19 open reading frame 81 (C19orf81)</t>
  </si>
  <si>
    <t>NP_001182005.1</t>
  </si>
  <si>
    <t>PH_hs_0044101</t>
  </si>
  <si>
    <t>PH_hs_0044106</t>
  </si>
  <si>
    <t>NP_060694.2</t>
  </si>
  <si>
    <t>PH_hs_0044114</t>
  </si>
  <si>
    <t>PH_hs_0044115</t>
  </si>
  <si>
    <t>PH_hs_0044123</t>
  </si>
  <si>
    <t>C11orf1</t>
  </si>
  <si>
    <t>Homo sapiens chromosome 11 open reading frame 1 (C11orf1)</t>
  </si>
  <si>
    <t>NP_073598.1</t>
  </si>
  <si>
    <t>PH_hs_0044132</t>
  </si>
  <si>
    <t>LEAP2</t>
  </si>
  <si>
    <t>Homo sapiens liver expressed antimicrobial peptide 2 (LEAP2)</t>
  </si>
  <si>
    <t>NP_443203.1</t>
  </si>
  <si>
    <t>PH_hs_0044149</t>
  </si>
  <si>
    <t>CKLF-CMTM1|CMTM1</t>
  </si>
  <si>
    <t>Homo sapiens CKLF-CMTM1 readthrough (CKLF-CMTM1)|Homo sapiens CKLF-like MARVEL transmembrane domain containing 1 (CMTM1)</t>
  </si>
  <si>
    <t>100529251|113540</t>
  </si>
  <si>
    <t>ENSG00000254788|ENSG00000089505</t>
  </si>
  <si>
    <t>PH_hs_0044151</t>
  </si>
  <si>
    <t>NP_001028677.1</t>
  </si>
  <si>
    <t>PH_hs_0044156</t>
  </si>
  <si>
    <t>ZNF789</t>
  </si>
  <si>
    <t>Homo sapiens zinc finger protein 789 (ZNF789)</t>
  </si>
  <si>
    <t>NP_998768.2</t>
  </si>
  <si>
    <t>PH_hs_0044158</t>
  </si>
  <si>
    <t>PH_hs_0044167</t>
  </si>
  <si>
    <t>PH_hs_0044171</t>
  </si>
  <si>
    <t>NP_955389.1</t>
  </si>
  <si>
    <t>PH_hs_0044173</t>
  </si>
  <si>
    <t>PH_hs_0044199</t>
  </si>
  <si>
    <t>CKLF-CMTM1|CKLF</t>
  </si>
  <si>
    <t>Homo sapiens CKLF-CMTM1 readthrough (CKLF-CMTM1)|Homo sapiens chemokine-like factor (CKLF)</t>
  </si>
  <si>
    <t>100529251|51192</t>
  </si>
  <si>
    <t>ENSG00000254788|ENSG00000217555</t>
  </si>
  <si>
    <t>PH_hs_0044200</t>
  </si>
  <si>
    <t>MED14</t>
  </si>
  <si>
    <t>Homo sapiens mediator complex subunit 14 (MED14)</t>
  </si>
  <si>
    <t>NP_004220.2</t>
  </si>
  <si>
    <t>PH_hs_0044207</t>
  </si>
  <si>
    <t>AMPD2</t>
  </si>
  <si>
    <t>Homo sapiens adenosine monophosphate deaminase 2 (AMPD2)</t>
  </si>
  <si>
    <t>PH_hs_0044230</t>
  </si>
  <si>
    <t>PH_hs_0044231</t>
  </si>
  <si>
    <t>PH_hs_0044232</t>
  </si>
  <si>
    <t>NP_620412.1</t>
  </si>
  <si>
    <t>PH_hs_0044239</t>
  </si>
  <si>
    <t>PH_hs_0044245</t>
  </si>
  <si>
    <t>FAM153A|FAM153B</t>
  </si>
  <si>
    <t>285596|202134</t>
  </si>
  <si>
    <t>NM_173663|NM_001265615</t>
  </si>
  <si>
    <t>NP_775934.3|NP_001252544.1</t>
  </si>
  <si>
    <t>PH_hs_0044254</t>
  </si>
  <si>
    <t>PH_hs_0044270</t>
  </si>
  <si>
    <t>PH_hs_0044274</t>
  </si>
  <si>
    <t>PH_hs_0044277</t>
  </si>
  <si>
    <t>NP_000047.1</t>
  </si>
  <si>
    <t>PH_hs_0044278</t>
  </si>
  <si>
    <t>PH_hs_0044293</t>
  </si>
  <si>
    <t>PH_hs_0044299</t>
  </si>
  <si>
    <t>TTLL3|ARPC4-TTLL3</t>
  </si>
  <si>
    <t>Homo sapiens tubulin tyrosine ligase-like family member 3 (TTLL3)|Homo sapiens ARPC4-TTLL3 readthrough (ARPC4-TTLL3)</t>
  </si>
  <si>
    <t>26140|100526693</t>
  </si>
  <si>
    <t>ENSG00000214021|ENSG00000250151</t>
  </si>
  <si>
    <t>PH_hs_0044318</t>
  </si>
  <si>
    <t>PH_hs_0044325</t>
  </si>
  <si>
    <t>LNX1</t>
  </si>
  <si>
    <t>PH_hs_0044329</t>
  </si>
  <si>
    <t>PH_hs_0044332</t>
  </si>
  <si>
    <t>HACD2</t>
  </si>
  <si>
    <t>Homo sapiens 3-hydroxyacyl-CoA dehydratase 2 (HACD2)</t>
  </si>
  <si>
    <t>NP_940684.1</t>
  </si>
  <si>
    <t>PH_hs_0044342</t>
  </si>
  <si>
    <t>PH_hs_0044354</t>
  </si>
  <si>
    <t>SPC24</t>
  </si>
  <si>
    <t>NP_872319.1</t>
  </si>
  <si>
    <t>PH_hs_0044365</t>
  </si>
  <si>
    <t>NP_115895.2</t>
  </si>
  <si>
    <t>PH_hs_0044369</t>
  </si>
  <si>
    <t>C16orf13</t>
  </si>
  <si>
    <t>Homo sapiens chromosome 16 open reading frame 13 (C16orf13)</t>
  </si>
  <si>
    <t>PH_hs_0044370</t>
  </si>
  <si>
    <t>RPL31</t>
  </si>
  <si>
    <t>Homo sapiens ribosomal protein L31 (RPL31)</t>
  </si>
  <si>
    <t>PH_hs_0044371</t>
  </si>
  <si>
    <t>HINT2</t>
  </si>
  <si>
    <t>Homo sapiens histidine triad nucleotide binding protein 2 (HINT2)</t>
  </si>
  <si>
    <t>NP_115982.1</t>
  </si>
  <si>
    <t>ENSP00000259667</t>
  </si>
  <si>
    <t>PH_hs_0044373</t>
  </si>
  <si>
    <t>MRPL21</t>
  </si>
  <si>
    <t>Homo sapiens mitochondrial ribosomal protein L21 (MRPL21)</t>
  </si>
  <si>
    <t>PH_hs_0044391</t>
  </si>
  <si>
    <t>NP_001035843.1</t>
  </si>
  <si>
    <t>PH_hs_0044392</t>
  </si>
  <si>
    <t>RAET1G</t>
  </si>
  <si>
    <t>Homo sapiens retinoic acid early transcript 1G (RAET1G)</t>
  </si>
  <si>
    <t>NP_001001788.2</t>
  </si>
  <si>
    <t>PH_hs_0044400</t>
  </si>
  <si>
    <t>PH_hs_0044405</t>
  </si>
  <si>
    <t>PH_hs_0044414</t>
  </si>
  <si>
    <t>NP_060660.2</t>
  </si>
  <si>
    <t>PH_hs_0044422</t>
  </si>
  <si>
    <t>PH_hs_0044427</t>
  </si>
  <si>
    <t>FTL</t>
  </si>
  <si>
    <t>NP_000137.2</t>
  </si>
  <si>
    <t>PH_hs_0044436</t>
  </si>
  <si>
    <t>PH_hs_0044439</t>
  </si>
  <si>
    <t>PH_hs_0044442</t>
  </si>
  <si>
    <t>PH_hs_0044444</t>
  </si>
  <si>
    <t>PH_hs_0044446</t>
  </si>
  <si>
    <t>NP_579889.1</t>
  </si>
  <si>
    <t>PH_hs_0044453</t>
  </si>
  <si>
    <t>PH_hs_0044466</t>
  </si>
  <si>
    <t>NP_001025160.1</t>
  </si>
  <si>
    <t>PH_hs_0044473</t>
  </si>
  <si>
    <t>PH_hs_0044479</t>
  </si>
  <si>
    <t>PH_hs_0044481</t>
  </si>
  <si>
    <t>NP_113661.2</t>
  </si>
  <si>
    <t>PH_hs_0044485</t>
  </si>
  <si>
    <t>NP_001036189.1</t>
  </si>
  <si>
    <t>PH_hs_0044494</t>
  </si>
  <si>
    <t>PH_hs_0044498</t>
  </si>
  <si>
    <t>PH_hs_0044500</t>
  </si>
  <si>
    <t>C11orf74</t>
  </si>
  <si>
    <t>Homo sapiens chromosome 11 open reading frame 74 (C11orf74)</t>
  </si>
  <si>
    <t>NP_620142.2</t>
  </si>
  <si>
    <t>PH_hs_0044520</t>
  </si>
  <si>
    <t>NP_001028255.1</t>
  </si>
  <si>
    <t>PH_hs_0044530</t>
  </si>
  <si>
    <t>NP_001009936.1</t>
  </si>
  <si>
    <t>PH_hs_0044563</t>
  </si>
  <si>
    <t>PH_hs_0044569</t>
  </si>
  <si>
    <t>PH_hs_0044570</t>
  </si>
  <si>
    <t>PH_hs_0044571</t>
  </si>
  <si>
    <t>PH_hs_0044573</t>
  </si>
  <si>
    <t>NP_065681.1</t>
  </si>
  <si>
    <t>PH_hs_0044588</t>
  </si>
  <si>
    <t>PH_hs_0044594</t>
  </si>
  <si>
    <t>PH_hs_0044605</t>
  </si>
  <si>
    <t>PH_hs_0044608</t>
  </si>
  <si>
    <t>PH_hs_0044617</t>
  </si>
  <si>
    <t>NP_478056.1</t>
  </si>
  <si>
    <t>PH_hs_0044621</t>
  </si>
  <si>
    <t>PH_hs_0044622</t>
  </si>
  <si>
    <t>PH_hs_0044630</t>
  </si>
  <si>
    <t>PH_hs_0044646</t>
  </si>
  <si>
    <t>TACSTD2</t>
  </si>
  <si>
    <t>Homo sapiens tumor-associated calcium signal transducer 2 (TACSTD2)</t>
  </si>
  <si>
    <t>NP_002344.2</t>
  </si>
  <si>
    <t>ENST00000371225</t>
  </si>
  <si>
    <t>ENSP00000360269</t>
  </si>
  <si>
    <t>PH_hs_0044657</t>
  </si>
  <si>
    <t>NP_079043.3</t>
  </si>
  <si>
    <t>PH_hs_0044658</t>
  </si>
  <si>
    <t>PH_hs_0044660</t>
  </si>
  <si>
    <t>PH_hs_0044674</t>
  </si>
  <si>
    <t>PH_hs_0044676</t>
  </si>
  <si>
    <t>PH_hs_0044677</t>
  </si>
  <si>
    <t>NP_001012523.1</t>
  </si>
  <si>
    <t>PH_hs_0044682</t>
  </si>
  <si>
    <t>PH_hs_0044692</t>
  </si>
  <si>
    <t>NP_061117.2</t>
  </si>
  <si>
    <t>PH_hs_0044701</t>
  </si>
  <si>
    <t>PH_hs_0044704</t>
  </si>
  <si>
    <t>PH_hs_0044708</t>
  </si>
  <si>
    <t>IQSEC3</t>
  </si>
  <si>
    <t>Homo sapiens IQ motif and Sec7 domain 3 (IQSEC3)</t>
  </si>
  <si>
    <t>PH_hs_0044715</t>
  </si>
  <si>
    <t>PH_hs_0044746</t>
  </si>
  <si>
    <t>YTHDF3</t>
  </si>
  <si>
    <t>NP_689971.4</t>
  </si>
  <si>
    <t>PH_hs_0044754</t>
  </si>
  <si>
    <t>BMP8A</t>
  </si>
  <si>
    <t>Homo sapiens bone morphogenetic protein 8a (BMP8A)</t>
  </si>
  <si>
    <t>NP_861525.2</t>
  </si>
  <si>
    <t>ENST00000331593</t>
  </si>
  <si>
    <t>ENSP00000327440</t>
  </si>
  <si>
    <t>PH_hs_0044756</t>
  </si>
  <si>
    <t>PH_hs_0044769</t>
  </si>
  <si>
    <t>PH_hs_0044781</t>
  </si>
  <si>
    <t>ADAT3</t>
  </si>
  <si>
    <t>NP_612431.2</t>
  </si>
  <si>
    <t>PH_hs_0044816</t>
  </si>
  <si>
    <t>C7orf55</t>
  </si>
  <si>
    <t>Homo sapiens chromosome 7 open reading frame 55 (C7orf55)</t>
  </si>
  <si>
    <t>ENSP00000297534</t>
  </si>
  <si>
    <t>PH_hs_0044826</t>
  </si>
  <si>
    <t>MRPS6</t>
  </si>
  <si>
    <t>Homo sapiens mitochondrial ribosomal protein S6 (MRPS6)</t>
  </si>
  <si>
    <t>NP_115865.1</t>
  </si>
  <si>
    <t>ENSP00000382250</t>
  </si>
  <si>
    <t>PH_hs_0044832</t>
  </si>
  <si>
    <t>ARL2</t>
  </si>
  <si>
    <t>Homo sapiens ADP-ribosylation factor-like 2 (ARL2)</t>
  </si>
  <si>
    <t>LEPROT</t>
  </si>
  <si>
    <t>Homo sapiens leptin receptor overlapping transcript (LEPROT)</t>
  </si>
  <si>
    <t>PH_hs_0044870</t>
  </si>
  <si>
    <t>CHCHD10</t>
  </si>
  <si>
    <t>Homo sapiens coiled-coil-helix-coiled-coil-helix domain containing 10 (CHCHD10)</t>
  </si>
  <si>
    <t>NP_998885.1</t>
  </si>
  <si>
    <t>PH_hs_0044875</t>
  </si>
  <si>
    <t>KRTAP12-4</t>
  </si>
  <si>
    <t>Homo sapiens keratin associated protein 12-4 (KRTAP12-4)</t>
  </si>
  <si>
    <t>NP_941971.1</t>
  </si>
  <si>
    <t>ENST00000391618</t>
  </si>
  <si>
    <t>ENSP00000375476</t>
  </si>
  <si>
    <t>PH_hs_0044894</t>
  </si>
  <si>
    <t>LY6G6D</t>
  </si>
  <si>
    <t>NP_067069.2</t>
  </si>
  <si>
    <t>PH_hs_0044898</t>
  </si>
  <si>
    <t>PH_hs_0044901</t>
  </si>
  <si>
    <t>TEN1</t>
  </si>
  <si>
    <t>Homo sapiens TEN1 CST complex subunit (TEN1)</t>
  </si>
  <si>
    <t>NP_001106795.2</t>
  </si>
  <si>
    <t>PH_hs_0044902</t>
  </si>
  <si>
    <t>CHKB</t>
  </si>
  <si>
    <t>Homo sapiens choline kinase beta (CHKB)</t>
  </si>
  <si>
    <t>NP_005189.2</t>
  </si>
  <si>
    <t>ENSP00000384400</t>
  </si>
  <si>
    <t>PH_hs_0044910</t>
  </si>
  <si>
    <t>BGLAP|PMF1-BGLAP</t>
  </si>
  <si>
    <t>Homo sapiens bone gamma-carboxyglutamate (gla)|Homo sapiens PMF1-BGLAP readthrough (PMF1-BGLAP)</t>
  </si>
  <si>
    <t>632|100527963</t>
  </si>
  <si>
    <t>ENSG00000242252|ENSG00000260238</t>
  </si>
  <si>
    <t>PH_hs_0044912</t>
  </si>
  <si>
    <t>HOXA4</t>
  </si>
  <si>
    <t>Homo sapiens homeobox A4 (HOXA4)</t>
  </si>
  <si>
    <t>NP_002132.3</t>
  </si>
  <si>
    <t>PH_hs_0044923</t>
  </si>
  <si>
    <t>KRT19</t>
  </si>
  <si>
    <t>NP_002267.2</t>
  </si>
  <si>
    <t>PH_hs_0044938</t>
  </si>
  <si>
    <t>SIRT4</t>
  </si>
  <si>
    <t>Homo sapiens sirtuin 4 (SIRT4)</t>
  </si>
  <si>
    <t>NP_036372.1</t>
  </si>
  <si>
    <t>PH_hs_0044939</t>
  </si>
  <si>
    <t>SNRPF</t>
  </si>
  <si>
    <t>Homo sapiens small nuclear ribonucleoprotein polypeptide F (SNRPF)</t>
  </si>
  <si>
    <t>NP_003086.1</t>
  </si>
  <si>
    <t>PH_hs_0044954</t>
  </si>
  <si>
    <t>ZNF525</t>
  </si>
  <si>
    <t>Homo sapiens zinc finger protein 525 (ZNF525)</t>
  </si>
  <si>
    <t>PH_hs_0044962</t>
  </si>
  <si>
    <t>TPT1-AS1</t>
  </si>
  <si>
    <t>Homo sapiens TPT1 antisense RNA 1 (TPT1-AS1)</t>
  </si>
  <si>
    <t>PH_hs_0044985</t>
  </si>
  <si>
    <t>ENSG00000188611|ENSG00000204147</t>
  </si>
  <si>
    <t>PH_hs_0044997</t>
  </si>
  <si>
    <t>CEP295NL</t>
  </si>
  <si>
    <t>Homo sapiens CEP295 N-terminal like (CEP295NL)</t>
  </si>
  <si>
    <t>PH_hs_0045020</t>
  </si>
  <si>
    <t>NP_006278.1</t>
  </si>
  <si>
    <t>PH_hs_0045025</t>
  </si>
  <si>
    <t>NP_001010934.1</t>
  </si>
  <si>
    <t>PH_hs_0045026</t>
  </si>
  <si>
    <t>NP_955459.2</t>
  </si>
  <si>
    <t>PH_hs_0045027</t>
  </si>
  <si>
    <t>NP_002436.1</t>
  </si>
  <si>
    <t>PH_hs_0045029</t>
  </si>
  <si>
    <t>PH_hs_0045032</t>
  </si>
  <si>
    <t>NP_904325.2</t>
  </si>
  <si>
    <t>PH_hs_0045035</t>
  </si>
  <si>
    <t>NP_942123.1</t>
  </si>
  <si>
    <t>PH_hs_0045043</t>
  </si>
  <si>
    <t>NP_057737.2</t>
  </si>
  <si>
    <t>PH_hs_0045046</t>
  </si>
  <si>
    <t>NP_443210.1</t>
  </si>
  <si>
    <t>PH_hs_0045047</t>
  </si>
  <si>
    <t>NP_808820.1</t>
  </si>
  <si>
    <t>PH_hs_0045053</t>
  </si>
  <si>
    <t>NP_872577.1</t>
  </si>
  <si>
    <t>PH_hs_0045059</t>
  </si>
  <si>
    <t>NP_001867.2</t>
  </si>
  <si>
    <t>PH_hs_0045068</t>
  </si>
  <si>
    <t>NP_842565.2</t>
  </si>
  <si>
    <t>PH_hs_0045069</t>
  </si>
  <si>
    <t>PH_hs_0045071</t>
  </si>
  <si>
    <t>NP_938206.1</t>
  </si>
  <si>
    <t>PH_hs_0045078</t>
  </si>
  <si>
    <t>NP_006325.1</t>
  </si>
  <si>
    <t>PH_hs_0045080</t>
  </si>
  <si>
    <t>NP_149083.2</t>
  </si>
  <si>
    <t>PH_hs_0045086</t>
  </si>
  <si>
    <t>NP_115615.2</t>
  </si>
  <si>
    <t>PH_hs_0045091</t>
  </si>
  <si>
    <t>NP_036451.3</t>
  </si>
  <si>
    <t>PH_hs_0045094</t>
  </si>
  <si>
    <t>NP_997051.1</t>
  </si>
  <si>
    <t>PH_hs_0045119</t>
  </si>
  <si>
    <t>NP_056412.5</t>
  </si>
  <si>
    <t>PH_hs_0045127</t>
  </si>
  <si>
    <t>NP_932062.1</t>
  </si>
  <si>
    <t>PH_hs_0045151</t>
  </si>
  <si>
    <t>NP_057056.1</t>
  </si>
  <si>
    <t>PH_hs_0045159</t>
  </si>
  <si>
    <t>NP_001035882.1</t>
  </si>
  <si>
    <t>PH_hs_0045161</t>
  </si>
  <si>
    <t>NP_001001132.1</t>
  </si>
  <si>
    <t>PH_hs_0045162</t>
  </si>
  <si>
    <t>PH_hs_0045163</t>
  </si>
  <si>
    <t>SNORD33</t>
  </si>
  <si>
    <t>ENST00000362761</t>
  </si>
  <si>
    <t>PH_hs_0045164</t>
  </si>
  <si>
    <t>SNORD35A</t>
  </si>
  <si>
    <t>ENST00000363389</t>
  </si>
  <si>
    <t>PH_hs_0045166</t>
  </si>
  <si>
    <t>NP_067643.3</t>
  </si>
  <si>
    <t>PH_hs_0045174</t>
  </si>
  <si>
    <t>PH_hs_0045177</t>
  </si>
  <si>
    <t>NP_001153221.1</t>
  </si>
  <si>
    <t>PH_hs_0045183</t>
  </si>
  <si>
    <t>PH_hs_0045197</t>
  </si>
  <si>
    <t>SNORA63</t>
  </si>
  <si>
    <t>PH_hs_0045214</t>
  </si>
  <si>
    <t>SNORA81</t>
  </si>
  <si>
    <t>ENST00000408493</t>
  </si>
  <si>
    <t>PH_hs_0045220</t>
  </si>
  <si>
    <t>NP_001070867.1</t>
  </si>
  <si>
    <t>PH_hs_0045225</t>
  </si>
  <si>
    <t>SNORD2</t>
  </si>
  <si>
    <t>PH_hs_0045238</t>
  </si>
  <si>
    <t>POMZP3</t>
  </si>
  <si>
    <t>Homo sapiens POM121 and ZP3 fusion (POMZP3)</t>
  </si>
  <si>
    <t>NP_694537.1</t>
  </si>
  <si>
    <t>PH_hs_0045255</t>
  </si>
  <si>
    <t>LOC646938</t>
  </si>
  <si>
    <t>PH_hs_0045266</t>
  </si>
  <si>
    <t>PCDHGC3</t>
  </si>
  <si>
    <t>NP_115778.1</t>
  </si>
  <si>
    <t>PH_hs_0045291</t>
  </si>
  <si>
    <t>ST20</t>
  </si>
  <si>
    <t>Homo sapiens suppressor of tumorigenicity 20 (ST20)</t>
  </si>
  <si>
    <t>NP_001094349.1</t>
  </si>
  <si>
    <t>CT45A5</t>
  </si>
  <si>
    <t>ENST00000620885</t>
  </si>
  <si>
    <t>ENSP00000480765</t>
  </si>
  <si>
    <t>PH_hs_0045307</t>
  </si>
  <si>
    <t>XAGE2</t>
  </si>
  <si>
    <t>NP_570133.1</t>
  </si>
  <si>
    <t>ENST00000286049</t>
  </si>
  <si>
    <t>ENSP00000286049</t>
  </si>
  <si>
    <t>PH_hs_0045344</t>
  </si>
  <si>
    <t>FAM58A</t>
  </si>
  <si>
    <t>PH_hs_0045368</t>
  </si>
  <si>
    <t>NP_006874.1</t>
  </si>
  <si>
    <t>CLYBL</t>
  </si>
  <si>
    <t>Homo sapiens citrate lyase beta like (CLYBL)</t>
  </si>
  <si>
    <t>NP_996531.1</t>
  </si>
  <si>
    <t>PH_hs_0045401</t>
  </si>
  <si>
    <t>C9orf47</t>
  </si>
  <si>
    <t>Homo sapiens chromosome 9 open reading frame 47 (C9orf47)</t>
  </si>
  <si>
    <t>GIGYF2</t>
  </si>
  <si>
    <t>Homo sapiens GRB10 interacting GYF protein 2 (GIGYF2)</t>
  </si>
  <si>
    <t>PH_hs_0045407</t>
  </si>
  <si>
    <t>PCDHAC1</t>
  </si>
  <si>
    <t>NP_114088.2</t>
  </si>
  <si>
    <t>PH_hs_0045424</t>
  </si>
  <si>
    <t>ZMYM6NB</t>
  </si>
  <si>
    <t>Homo sapiens ZMYM6 neighbor (ZMYM6NB)</t>
  </si>
  <si>
    <t>NP_001182085.1</t>
  </si>
  <si>
    <t>ENST00000373337</t>
  </si>
  <si>
    <t>ENSP00000362435</t>
  </si>
  <si>
    <t>PH_hs_0045439</t>
  </si>
  <si>
    <t>PH_hs_0045444</t>
  </si>
  <si>
    <t>PH_hs_0045452</t>
  </si>
  <si>
    <t>TMEM167A</t>
  </si>
  <si>
    <t>Homo sapiens transmembrane protein 167A (TMEM167A)</t>
  </si>
  <si>
    <t>NP_777569.1</t>
  </si>
  <si>
    <t>ENSP00000424707</t>
  </si>
  <si>
    <t>PH_hs_0045464</t>
  </si>
  <si>
    <t>PH_hs_0045474</t>
  </si>
  <si>
    <t>SNORD21</t>
  </si>
  <si>
    <t>ENST00000383953</t>
  </si>
  <si>
    <t>PH_hs_0045477</t>
  </si>
  <si>
    <t>STH</t>
  </si>
  <si>
    <t>Homo sapiens saitohin (STH)</t>
  </si>
  <si>
    <t>NP_001007533.1</t>
  </si>
  <si>
    <t>ENST00000537309</t>
  </si>
  <si>
    <t>ENSP00000443168</t>
  </si>
  <si>
    <t>PH_hs_0045480</t>
  </si>
  <si>
    <t>PSME2</t>
  </si>
  <si>
    <t>NP_002809.2</t>
  </si>
  <si>
    <t>PH_hs_0045483</t>
  </si>
  <si>
    <t>NP_001032519.1</t>
  </si>
  <si>
    <t>PH_hs_0045490</t>
  </si>
  <si>
    <t>PH_hs_0045496</t>
  </si>
  <si>
    <t>PH_hs_0045502</t>
  </si>
  <si>
    <t>POC1B-GALNT4|GALNT4</t>
  </si>
  <si>
    <t>Homo sapiens POC1B-GALNT4 readthrough (POC1B-GALNT4)|Homo sapiens polypeptide N-acetylgalactosaminyltransferase 4 (GALNT4)</t>
  </si>
  <si>
    <t>100528030|8693</t>
  </si>
  <si>
    <t>ENSG00000259075|ENSG00000257594</t>
  </si>
  <si>
    <t>PH_hs_0045514</t>
  </si>
  <si>
    <t>ATP5J</t>
  </si>
  <si>
    <t>PH_hs_0045549</t>
  </si>
  <si>
    <t>PH_hs_0045554</t>
  </si>
  <si>
    <t>PH_hs_0045556</t>
  </si>
  <si>
    <t>PH_hs_0045557</t>
  </si>
  <si>
    <t>PH_hs_0045562</t>
  </si>
  <si>
    <t>NP_009293.1</t>
  </si>
  <si>
    <t>PH_hs_0045563</t>
  </si>
  <si>
    <t>PH_hs_0045569</t>
  </si>
  <si>
    <t>NME1</t>
  </si>
  <si>
    <t>Homo sapiens NME/NM23 nucleoside diphosphate kinase 1 (NME1)</t>
  </si>
  <si>
    <t>PH_hs_0045581</t>
  </si>
  <si>
    <t>NP_001124181.1</t>
  </si>
  <si>
    <t>PH_hs_0045583</t>
  </si>
  <si>
    <t>PH_hs_0045598</t>
  </si>
  <si>
    <t>NP_001128472.1</t>
  </si>
  <si>
    <t>PH_hs_0045600</t>
  </si>
  <si>
    <t>NP_001139729.1</t>
  </si>
  <si>
    <t>PH_hs_0045605</t>
  </si>
  <si>
    <t>NP_001128304.1</t>
  </si>
  <si>
    <t>PH_hs_0045618</t>
  </si>
  <si>
    <t>NP_001139249.1</t>
  </si>
  <si>
    <t>PH_hs_0045630</t>
  </si>
  <si>
    <t>PH_hs_0045633</t>
  </si>
  <si>
    <t>PH_hs_0045635</t>
  </si>
  <si>
    <t>NP_001155178.1</t>
  </si>
  <si>
    <t>PH_hs_0045659</t>
  </si>
  <si>
    <t>PH_hs_0045668</t>
  </si>
  <si>
    <t>RPL12</t>
  </si>
  <si>
    <t>Homo sapiens ribosomal protein L12 (RPL12)</t>
  </si>
  <si>
    <t>NP_000967.1</t>
  </si>
  <si>
    <t>PH_hs_0045682</t>
  </si>
  <si>
    <t>ATP5E</t>
  </si>
  <si>
    <t>NP_008817.1</t>
  </si>
  <si>
    <t>PH_hs_0045683</t>
  </si>
  <si>
    <t>ATP5G1</t>
  </si>
  <si>
    <t>PH_hs_0045700</t>
  </si>
  <si>
    <t>PH_hs_0045702</t>
  </si>
  <si>
    <t>PH_hs_0045704</t>
  </si>
  <si>
    <t>CXADR</t>
  </si>
  <si>
    <t>Homo sapiens coxsackie virus and adenovirus receptor (CXADR)</t>
  </si>
  <si>
    <t>PH_hs_0045720</t>
  </si>
  <si>
    <t>FDPS</t>
  </si>
  <si>
    <t>Homo sapiens farnesyl diphosphate synthase (FDPS)</t>
  </si>
  <si>
    <t>PH_hs_0045723</t>
  </si>
  <si>
    <t>NP_463460.1</t>
  </si>
  <si>
    <t>PH_hs_0045730</t>
  </si>
  <si>
    <t>GABPA</t>
  </si>
  <si>
    <t>PH_hs_0045743</t>
  </si>
  <si>
    <t>PH_hs_0045744</t>
  </si>
  <si>
    <t>HINT1</t>
  </si>
  <si>
    <t>Homo sapiens histidine triad nucleotide binding protein 1 (HINT1)</t>
  </si>
  <si>
    <t>PH_hs_0045745</t>
  </si>
  <si>
    <t>PH_hs_0045746</t>
  </si>
  <si>
    <t>PH_hs_0045751</t>
  </si>
  <si>
    <t>PRMT1</t>
  </si>
  <si>
    <t>Homo sapiens protein arginine methyltransferase 1 (PRMT1)</t>
  </si>
  <si>
    <t>PH_hs_0045762</t>
  </si>
  <si>
    <t>PH_hs_0045767</t>
  </si>
  <si>
    <t>RPSA</t>
  </si>
  <si>
    <t>Homo sapiens ribosomal protein SA (RPSA)</t>
  </si>
  <si>
    <t>NP_002286.2</t>
  </si>
  <si>
    <t>PH_hs_0045769</t>
  </si>
  <si>
    <t>LIMS1</t>
  </si>
  <si>
    <t>Homo sapiens LIM and senescent cell antigen-like domains 1 (LIMS1)</t>
  </si>
  <si>
    <t>ENST00000487150</t>
  </si>
  <si>
    <t>ENSP00000488782</t>
  </si>
  <si>
    <t>PH_hs_0045794</t>
  </si>
  <si>
    <t>NME2</t>
  </si>
  <si>
    <t>Homo sapiens NME/NM23 nucleoside diphosphate kinase 2 (NME2)</t>
  </si>
  <si>
    <t>NP_001018147.1</t>
  </si>
  <si>
    <t>PH_hs_0045823</t>
  </si>
  <si>
    <t>PH_hs_0045833</t>
  </si>
  <si>
    <t>SCN5A</t>
  </si>
  <si>
    <t>PH_hs_0045842</t>
  </si>
  <si>
    <t>SP3</t>
  </si>
  <si>
    <t>Homo sapiens Sp3 transcription factor (SP3)</t>
  </si>
  <si>
    <t>PH_hs_0045844</t>
  </si>
  <si>
    <t>NP_998839.1</t>
  </si>
  <si>
    <t>PH_hs_0045851</t>
  </si>
  <si>
    <t>PH_hs_0045854</t>
  </si>
  <si>
    <t>PH_hs_0045859</t>
  </si>
  <si>
    <t>PH_hs_0045878</t>
  </si>
  <si>
    <t>FZD6</t>
  </si>
  <si>
    <t>Homo sapiens frizzled class receptor 6 (FZD6)</t>
  </si>
  <si>
    <t>PH_hs_0045887</t>
  </si>
  <si>
    <t>PH_hs_0045891</t>
  </si>
  <si>
    <t>PH_hs_0045895</t>
  </si>
  <si>
    <t>PH_hs_0045909</t>
  </si>
  <si>
    <t>ZNF432</t>
  </si>
  <si>
    <t>Homo sapiens zinc finger protein 432 (ZNF432)</t>
  </si>
  <si>
    <t>NP_055465.1</t>
  </si>
  <si>
    <t>PH_hs_0045916</t>
  </si>
  <si>
    <t>KIAA0319</t>
  </si>
  <si>
    <t>Homo sapiens KIAA0319 (KIAA0319)</t>
  </si>
  <si>
    <t>PH_hs_0045920</t>
  </si>
  <si>
    <t>PH_hs_0045922</t>
  </si>
  <si>
    <t>NP_001094090.1</t>
  </si>
  <si>
    <t>PH_hs_0045937</t>
  </si>
  <si>
    <t>PH_hs_0045944</t>
  </si>
  <si>
    <t>NP_001138679.1</t>
  </si>
  <si>
    <t>PH_hs_0045970</t>
  </si>
  <si>
    <t>PH_hs_0045974</t>
  </si>
  <si>
    <t>NP_001157685.1</t>
  </si>
  <si>
    <t>PH_hs_0045981</t>
  </si>
  <si>
    <t>NP_001121680.1</t>
  </si>
  <si>
    <t>PH_hs_0045982</t>
  </si>
  <si>
    <t>PH_hs_0045998</t>
  </si>
  <si>
    <t>PH_hs_0046000</t>
  </si>
  <si>
    <t>NP_001103973.1</t>
  </si>
  <si>
    <t>PH_hs_0046009</t>
  </si>
  <si>
    <t>PH_hs_0046024</t>
  </si>
  <si>
    <t>MDFIC</t>
  </si>
  <si>
    <t>Homo sapiens MyoD family inhibitor domain containing (MDFIC)</t>
  </si>
  <si>
    <t>PH_hs_0046032</t>
  </si>
  <si>
    <t>SEPSECS</t>
  </si>
  <si>
    <t>Homo sapiens Sep (O-phosphoserine)</t>
  </si>
  <si>
    <t>NP_058651.3</t>
  </si>
  <si>
    <t>PH_hs_0046033</t>
  </si>
  <si>
    <t>ASB3</t>
  </si>
  <si>
    <t>Homo sapiens ankyrin repeat and SOCS box containing 3 (ASB3)</t>
  </si>
  <si>
    <t>PH_hs_0046035</t>
  </si>
  <si>
    <t>PH_hs_0046068</t>
  </si>
  <si>
    <t>PH_hs_0046072</t>
  </si>
  <si>
    <t>PH_hs_0046078</t>
  </si>
  <si>
    <t>PH_hs_0046086</t>
  </si>
  <si>
    <t>PH_hs_0046092</t>
  </si>
  <si>
    <t>PH_hs_0046137</t>
  </si>
  <si>
    <t>PH_hs_0046152</t>
  </si>
  <si>
    <t>HS3ST6</t>
  </si>
  <si>
    <t>NP_001009606.3</t>
  </si>
  <si>
    <t>ENST00000293937</t>
  </si>
  <si>
    <t>ENSP00000293937</t>
  </si>
  <si>
    <t>PH_hs_0046180</t>
  </si>
  <si>
    <t>PH_hs_0046183</t>
  </si>
  <si>
    <t>TUBA4B</t>
  </si>
  <si>
    <t>PH_hs_0046218</t>
  </si>
  <si>
    <t>PH_hs_0046229</t>
  </si>
  <si>
    <t>PALM2</t>
  </si>
  <si>
    <t>Homo sapiens paralemmin 2 (PALM2)</t>
  </si>
  <si>
    <t>PH_hs_0046245</t>
  </si>
  <si>
    <t>RN7SK</t>
  </si>
  <si>
    <t>ENST00000365328</t>
  </si>
  <si>
    <t>PH_hs_0046251</t>
  </si>
  <si>
    <t>NP_776154.3</t>
  </si>
  <si>
    <t>PH_hs_0046273</t>
  </si>
  <si>
    <t>NP_001156896.1</t>
  </si>
  <si>
    <t>PH_hs_0046286</t>
  </si>
  <si>
    <t>H2BFWT</t>
  </si>
  <si>
    <t>NP_001002916.3</t>
  </si>
  <si>
    <t>PH_hs_0046295</t>
  </si>
  <si>
    <t>PRSS35</t>
  </si>
  <si>
    <t>ENST00000369700</t>
  </si>
  <si>
    <t>ENSP00000358714</t>
  </si>
  <si>
    <t>PH_hs_0046300</t>
  </si>
  <si>
    <t>PH_hs_0046302</t>
  </si>
  <si>
    <t>NP_001006667.1</t>
  </si>
  <si>
    <t>PH_hs_0046304</t>
  </si>
  <si>
    <t>PH_hs_0046305</t>
  </si>
  <si>
    <t>PH_hs_0046327</t>
  </si>
  <si>
    <t>PH_hs_0046336</t>
  </si>
  <si>
    <t>PH_hs_0046341</t>
  </si>
  <si>
    <t>NP_001158110.1</t>
  </si>
  <si>
    <t>PH_hs_0046342</t>
  </si>
  <si>
    <t>PH_hs_0046357</t>
  </si>
  <si>
    <t>NP_001123494.1</t>
  </si>
  <si>
    <t>PH_hs_0046385</t>
  </si>
  <si>
    <t>UBE2Q2P1</t>
  </si>
  <si>
    <t>Homo sapiens ubiquitin-conjugating enzyme E2Q family member 2 pseudogene 1 (UBE2Q2P1)</t>
  </si>
  <si>
    <t>PH_hs_0046388</t>
  </si>
  <si>
    <t>PH_hs_0046393</t>
  </si>
  <si>
    <t>NKX1-2</t>
  </si>
  <si>
    <t>Homo sapiens NK1 homeobox 2 (NKX1-2)</t>
  </si>
  <si>
    <t>NP_001139812.1</t>
  </si>
  <si>
    <t>ENST00000451024</t>
  </si>
  <si>
    <t>ENSP00000451945</t>
  </si>
  <si>
    <t>C4orf48</t>
  </si>
  <si>
    <t>Homo sapiens chromosome 4 open reading frame 48 (C4orf48)</t>
  </si>
  <si>
    <t>PH_hs_0046418</t>
  </si>
  <si>
    <t>PH_hs_0046419</t>
  </si>
  <si>
    <t>NP_001164209.1</t>
  </si>
  <si>
    <t>PH_hs_0046434</t>
  </si>
  <si>
    <t>UGT2A1|UGT2A2</t>
  </si>
  <si>
    <t>10941|574537</t>
  </si>
  <si>
    <t>NM_001252274|NM_001105677</t>
  </si>
  <si>
    <t>NP_001239203.2|NP_001099147.2</t>
  </si>
  <si>
    <t>ENSG00000173610|ENSG00000271271</t>
  </si>
  <si>
    <t>PH_hs_0046437</t>
  </si>
  <si>
    <t>PH_hs_0046439</t>
  </si>
  <si>
    <t>KIAA0754</t>
  </si>
  <si>
    <t>Homo sapiens KIAA0754 (KIAA0754)</t>
  </si>
  <si>
    <t>NP_055853.1</t>
  </si>
  <si>
    <t>PH_hs_0046442</t>
  </si>
  <si>
    <t>ZCCHC18</t>
  </si>
  <si>
    <t>C7orf73</t>
  </si>
  <si>
    <t>Homo sapiens chromosome 7 open reading frame 73 (C7orf73)</t>
  </si>
  <si>
    <t>NP_001124401.1</t>
  </si>
  <si>
    <t>PH_hs_0046461</t>
  </si>
  <si>
    <t>CCDC175</t>
  </si>
  <si>
    <t>Homo sapiens coiled-coil domain containing 175 (CCDC175)</t>
  </si>
  <si>
    <t>NP_001157871.1</t>
  </si>
  <si>
    <t>PH_hs_0046465</t>
  </si>
  <si>
    <t>PH_hs_0046467</t>
  </si>
  <si>
    <t>PH_hs_0046469</t>
  </si>
  <si>
    <t>TLX1NB</t>
  </si>
  <si>
    <t>Homo sapiens TLX1 neighbor (TLX1NB)</t>
  </si>
  <si>
    <t>C11orf91</t>
  </si>
  <si>
    <t>Homo sapiens chromosome 11 open reading frame 91 (C11orf91)</t>
  </si>
  <si>
    <t>NP_001160164.1</t>
  </si>
  <si>
    <t>PH_hs_0046479</t>
  </si>
  <si>
    <t>FAM159B</t>
  </si>
  <si>
    <t>NP_001157914.1</t>
  </si>
  <si>
    <t>PH_hs_0046490</t>
  </si>
  <si>
    <t>PH_hs_0046492</t>
  </si>
  <si>
    <t>CPT1B</t>
  </si>
  <si>
    <t>Homo sapiens carnitine palmitoyltransferase 1B (muscle)</t>
  </si>
  <si>
    <t>PH_hs_0046503</t>
  </si>
  <si>
    <t>PFN1</t>
  </si>
  <si>
    <t>Homo sapiens profilin 1 (PFN1)</t>
  </si>
  <si>
    <t>NP_005013.1</t>
  </si>
  <si>
    <t>PH_hs_0046511</t>
  </si>
  <si>
    <t>FAM127A</t>
  </si>
  <si>
    <t>NP_001071639.1</t>
  </si>
  <si>
    <t>ENSP00000257013</t>
  </si>
  <si>
    <t>PH_hs_0046513</t>
  </si>
  <si>
    <t>LILRB3</t>
  </si>
  <si>
    <t>PH_hs_0046520</t>
  </si>
  <si>
    <t>PH_hs_0046527</t>
  </si>
  <si>
    <t>PH_hs_0046534</t>
  </si>
  <si>
    <t>TMSB15B</t>
  </si>
  <si>
    <t>Homo sapiens thymosin beta 15B (TMSB15B)</t>
  </si>
  <si>
    <t>NP_919305.2</t>
  </si>
  <si>
    <t>PH_hs_0046537</t>
  </si>
  <si>
    <t>ZNF429</t>
  </si>
  <si>
    <t>Homo sapiens zinc finger protein 429 (ZNF429)</t>
  </si>
  <si>
    <t>NP_001001415.2</t>
  </si>
  <si>
    <t>PH_hs_0046647</t>
  </si>
  <si>
    <t>LINC01549</t>
  </si>
  <si>
    <t>Homo sapiens long intergenic non-protein coding RNA 1549 (LINC01549)</t>
  </si>
  <si>
    <t>PH_hs_0046676</t>
  </si>
  <si>
    <t>PPP4R1L</t>
  </si>
  <si>
    <t>PH_hs_0046684</t>
  </si>
  <si>
    <t>PH_hs_0046688</t>
  </si>
  <si>
    <t>TUG1</t>
  </si>
  <si>
    <t>Homo sapiens taurine up-regulated 1 (non-protein coding)</t>
  </si>
  <si>
    <t>PH_hs_0046725</t>
  </si>
  <si>
    <t>MRVI1-AS1</t>
  </si>
  <si>
    <t>Homo sapiens MRVI1 antisense RNA 1 (MRVI1-AS1)</t>
  </si>
  <si>
    <t>PH_hs_0046739</t>
  </si>
  <si>
    <t>ENSG00000211962</t>
  </si>
  <si>
    <t>ENSP00000375031</t>
  </si>
  <si>
    <t>PH_hs_0046743</t>
  </si>
  <si>
    <t>ENSG00000259092</t>
  </si>
  <si>
    <t>ENSP00000451308</t>
  </si>
  <si>
    <t>PH_hs_0046794</t>
  </si>
  <si>
    <t>SMG1P2|SMG1P5</t>
  </si>
  <si>
    <t>Homo sapiens SMG1 pseudogene 2 (SMG1P2)|Homo sapiens SMG1 pseudogene 5 (SMG1P5)</t>
  </si>
  <si>
    <t>440354|595101</t>
  </si>
  <si>
    <t>NR_002473|NR_002453</t>
  </si>
  <si>
    <t>PH_hs_0046825</t>
  </si>
  <si>
    <t>LEF1-AS1</t>
  </si>
  <si>
    <t>Homo sapiens LEF1 antisense RNA 1 (LEF1-AS1)</t>
  </si>
  <si>
    <t>PH_hs_0046866</t>
  </si>
  <si>
    <t>ENSG00000196383</t>
  </si>
  <si>
    <t>ENSP00000438013</t>
  </si>
  <si>
    <t>PH_hs_0047058</t>
  </si>
  <si>
    <t>PH_hs_0047085</t>
  </si>
  <si>
    <t>PH_hs_0047220</t>
  </si>
  <si>
    <t>PH_hs_0047229</t>
  </si>
  <si>
    <t>PH_hs_0047233</t>
  </si>
  <si>
    <t>PH_hs_0047234</t>
  </si>
  <si>
    <t>NDUFAF4|NDUFAF4P1</t>
  </si>
  <si>
    <t>Homo sapiens NADH dehydrogenase (ubiquinone)|Homo sapiens NADH dehydrogenase (ubiquinone)</t>
  </si>
  <si>
    <t>29078|100306975</t>
  </si>
  <si>
    <t>NM_014165|NR_036507</t>
  </si>
  <si>
    <t>NP_054884.1|-</t>
  </si>
  <si>
    <t>PH_hs_0047239</t>
  </si>
  <si>
    <t>PH_hs_0047249</t>
  </si>
  <si>
    <t>PH_hs_0047256</t>
  </si>
  <si>
    <t>PH_hs_0047259</t>
  </si>
  <si>
    <t>PH_hs_0047261</t>
  </si>
  <si>
    <t>PH_hs_0047263</t>
  </si>
  <si>
    <t>PH_hs_0047265</t>
  </si>
  <si>
    <t>PH_hs_0047272</t>
  </si>
  <si>
    <t>PH_hs_0047286</t>
  </si>
  <si>
    <t>PH_hs_0047296</t>
  </si>
  <si>
    <t>PH_hs_0047297</t>
  </si>
  <si>
    <t>PH_hs_0047299</t>
  </si>
  <si>
    <t>PH_hs_0047317</t>
  </si>
  <si>
    <t>PH_hs_0047319</t>
  </si>
  <si>
    <t>PH_hs_0047323</t>
  </si>
  <si>
    <t>TRIM58</t>
  </si>
  <si>
    <t>Homo sapiens tripartite motif containing 58 (TRIM58)</t>
  </si>
  <si>
    <t>NP_056246.3</t>
  </si>
  <si>
    <t>ENST00000366481</t>
  </si>
  <si>
    <t>ENSP00000355437</t>
  </si>
  <si>
    <t>PH_hs_0047324</t>
  </si>
  <si>
    <t>PH_hs_0047325</t>
  </si>
  <si>
    <t>PH_hs_0047336</t>
  </si>
  <si>
    <t>PH_hs_0047338</t>
  </si>
  <si>
    <t>PH_hs_0047348</t>
  </si>
  <si>
    <t>PH_hs_0047350</t>
  </si>
  <si>
    <t>PH_hs_0047356</t>
  </si>
  <si>
    <t>PH_hs_0047359</t>
  </si>
  <si>
    <t>PH_hs_0047375</t>
  </si>
  <si>
    <t>PH_hs_0047381</t>
  </si>
  <si>
    <t>PH_hs_0047391</t>
  </si>
  <si>
    <t>PH_hs_0047414</t>
  </si>
  <si>
    <t>PH_hs_0047415</t>
  </si>
  <si>
    <t>PH_hs_0047426</t>
  </si>
  <si>
    <t>PH_hs_0047431</t>
  </si>
  <si>
    <t>PH_hs_0047448</t>
  </si>
  <si>
    <t>PH_hs_0047453</t>
  </si>
  <si>
    <t>PH_hs_0047455</t>
  </si>
  <si>
    <t>PH_hs_0047457</t>
  </si>
  <si>
    <t>PH_hs_0047463</t>
  </si>
  <si>
    <t>PH_hs_0047468</t>
  </si>
  <si>
    <t>PH_hs_0047482</t>
  </si>
  <si>
    <t>PH_hs_0047497</t>
  </si>
  <si>
    <t>PH_hs_0047500</t>
  </si>
  <si>
    <t>PH_hs_0047503</t>
  </si>
  <si>
    <t>NP_001035089.1</t>
  </si>
  <si>
    <t>PH_hs_0047512</t>
  </si>
  <si>
    <t>PH_hs_0047521</t>
  </si>
  <si>
    <t>PH_hs_0047522</t>
  </si>
  <si>
    <t>PH_hs_0047532</t>
  </si>
  <si>
    <t>ZNF404</t>
  </si>
  <si>
    <t>Homo sapiens zinc finger protein 404 (ZNF404)</t>
  </si>
  <si>
    <t>NP_001028891.2</t>
  </si>
  <si>
    <t>PH_hs_0047538</t>
  </si>
  <si>
    <t>PH_hs_0047542</t>
  </si>
  <si>
    <t>GCLM</t>
  </si>
  <si>
    <t>NP_002052.1</t>
  </si>
  <si>
    <t>PH_hs_0047547</t>
  </si>
  <si>
    <t>PH_hs_0047548</t>
  </si>
  <si>
    <t>PH_hs_0047554</t>
  </si>
  <si>
    <t>PH_hs_0047557</t>
  </si>
  <si>
    <t>PH_hs_0047561</t>
  </si>
  <si>
    <t>PH_hs_0047569</t>
  </si>
  <si>
    <t>TMEM65</t>
  </si>
  <si>
    <t>Homo sapiens transmembrane protein 65 (TMEM65)</t>
  </si>
  <si>
    <t>NP_919267.2</t>
  </si>
  <si>
    <t>ENST00000297632</t>
  </si>
  <si>
    <t>ENSP00000297632</t>
  </si>
  <si>
    <t>PH_hs_0047584</t>
  </si>
  <si>
    <t>PH_hs_0047589</t>
  </si>
  <si>
    <t>PH_hs_0047601</t>
  </si>
  <si>
    <t>PH_hs_0047609</t>
  </si>
  <si>
    <t>PH_hs_0047615</t>
  </si>
  <si>
    <t>PH_hs_0047637</t>
  </si>
  <si>
    <t>PH_hs_0047639</t>
  </si>
  <si>
    <t>PH_hs_0047652</t>
  </si>
  <si>
    <t>PH_hs_0047656</t>
  </si>
  <si>
    <t>PH_hs_0047660</t>
  </si>
  <si>
    <t>PH_hs_0047670</t>
  </si>
  <si>
    <t>PH_hs_0047672</t>
  </si>
  <si>
    <t>PH_hs_0047697</t>
  </si>
  <si>
    <t>PH_hs_0047723</t>
  </si>
  <si>
    <t>PH_hs_0047726</t>
  </si>
  <si>
    <t>PH_hs_0047730</t>
  </si>
  <si>
    <t>PH_hs_0047739</t>
  </si>
  <si>
    <t>PH_hs_0047744</t>
  </si>
  <si>
    <t>PH_hs_0047748</t>
  </si>
  <si>
    <t>PH_hs_0047764</t>
  </si>
  <si>
    <t>PH_hs_0047769</t>
  </si>
  <si>
    <t>PH_hs_0047770</t>
  </si>
  <si>
    <t>PH_hs_0047771</t>
  </si>
  <si>
    <t>PH_hs_0047784</t>
  </si>
  <si>
    <t>PH_hs_0047794</t>
  </si>
  <si>
    <t>PH_hs_0047796</t>
  </si>
  <si>
    <t>PH_hs_0047799</t>
  </si>
  <si>
    <t>PH_hs_0047824</t>
  </si>
  <si>
    <t>PH_hs_0047829</t>
  </si>
  <si>
    <t>PH_hs_0047833</t>
  </si>
  <si>
    <t>PH_hs_0047837</t>
  </si>
  <si>
    <t>PH_hs_0047838</t>
  </si>
  <si>
    <t>PH_hs_0047842</t>
  </si>
  <si>
    <t>PH_hs_0047853</t>
  </si>
  <si>
    <t>PH_hs_0047929</t>
  </si>
  <si>
    <t>PH_hs_0047944</t>
  </si>
  <si>
    <t>PH_hs_0047963</t>
  </si>
  <si>
    <t>PH_hs_0047967</t>
  </si>
  <si>
    <t>PH_hs_0048000</t>
  </si>
  <si>
    <t>PH_hs_0048003</t>
  </si>
  <si>
    <t>PH_hs_0048016</t>
  </si>
  <si>
    <t>PH_hs_0048019</t>
  </si>
  <si>
    <t>PH_hs_0048025</t>
  </si>
  <si>
    <t>PH_hs_0048027</t>
  </si>
  <si>
    <t>OTULIN</t>
  </si>
  <si>
    <t>Homo sapiens OTU deubiquitinase with linear linkage specificity (OTULIN)</t>
  </si>
  <si>
    <t>NP_612357.4</t>
  </si>
  <si>
    <t>PH_hs_0048028</t>
  </si>
  <si>
    <t>PH_hs_0048039</t>
  </si>
  <si>
    <t>PH_hs_0048048</t>
  </si>
  <si>
    <t>PH_hs_0048052</t>
  </si>
  <si>
    <t>PH_hs_0048064</t>
  </si>
  <si>
    <t>PH_hs_0048069</t>
  </si>
  <si>
    <t>PH_hs_0048083</t>
  </si>
  <si>
    <t>PH_hs_0048087</t>
  </si>
  <si>
    <t>PH_hs_0048100</t>
  </si>
  <si>
    <t>PH_hs_0048114</t>
  </si>
  <si>
    <t>NP_001017392.2</t>
  </si>
  <si>
    <t>PH_hs_0048155</t>
  </si>
  <si>
    <t>PH_hs_0048156</t>
  </si>
  <si>
    <t>PH_hs_0048186</t>
  </si>
  <si>
    <t>PH_hs_0048190</t>
  </si>
  <si>
    <t>PH_hs_0048243</t>
  </si>
  <si>
    <t>ADRBK2</t>
  </si>
  <si>
    <t>NP_005151.2</t>
  </si>
  <si>
    <t>PH_hs_0048251</t>
  </si>
  <si>
    <t>PH_hs_0048252</t>
  </si>
  <si>
    <t>PH_hs_0048280</t>
  </si>
  <si>
    <t>PH_hs_0048283</t>
  </si>
  <si>
    <t>PH_hs_0048290</t>
  </si>
  <si>
    <t>PH_hs_0048301</t>
  </si>
  <si>
    <t>PH_hs_0048305</t>
  </si>
  <si>
    <t>PH_hs_0048331</t>
  </si>
  <si>
    <t>PH_hs_0048340</t>
  </si>
  <si>
    <t>PH_hs_0048348</t>
  </si>
  <si>
    <t>PH_hs_0048360</t>
  </si>
  <si>
    <t>PH_hs_0048366</t>
  </si>
  <si>
    <t>PH_hs_0048372</t>
  </si>
  <si>
    <t>PH_hs_0048373</t>
  </si>
  <si>
    <t>PH_hs_0048376</t>
  </si>
  <si>
    <t>PH_hs_0048386</t>
  </si>
  <si>
    <t>PH_hs_0048399</t>
  </si>
  <si>
    <t>PH_hs_0048406</t>
  </si>
  <si>
    <t>GPR180</t>
  </si>
  <si>
    <t>Homo sapiens G protein-coupled receptor 180 (GPR180)</t>
  </si>
  <si>
    <t>NP_851320.1</t>
  </si>
  <si>
    <t>ENST00000376958</t>
  </si>
  <si>
    <t>ENSP00000366157</t>
  </si>
  <si>
    <t>PH_hs_0048414</t>
  </si>
  <si>
    <t>PH_hs_0048424</t>
  </si>
  <si>
    <t>PH_hs_0048426</t>
  </si>
  <si>
    <t>PH_hs_0048427</t>
  </si>
  <si>
    <t>PH_hs_0048438</t>
  </si>
  <si>
    <t>PH_hs_0048455</t>
  </si>
  <si>
    <t>PH_hs_0048457</t>
  </si>
  <si>
    <t>PH_hs_0048464</t>
  </si>
  <si>
    <t>PH_hs_0048470</t>
  </si>
  <si>
    <t>PH_hs_0048486</t>
  </si>
  <si>
    <t>PH_hs_0048496</t>
  </si>
  <si>
    <t>AKAP12</t>
  </si>
  <si>
    <t>PH_hs_0048503</t>
  </si>
  <si>
    <t>PH_hs_0048509</t>
  </si>
  <si>
    <t>PH_hs_0048519</t>
  </si>
  <si>
    <t>PH_hs_0048529</t>
  </si>
  <si>
    <t>PH_hs_0048534</t>
  </si>
  <si>
    <t>PH_hs_0048538</t>
  </si>
  <si>
    <t>PH_hs_0048539</t>
  </si>
  <si>
    <t>PH_hs_0048546</t>
  </si>
  <si>
    <t>PH_hs_0048564</t>
  </si>
  <si>
    <t>PH_hs_0048576</t>
  </si>
  <si>
    <t>PH_hs_0048580</t>
  </si>
  <si>
    <t>PH_hs_0048585</t>
  </si>
  <si>
    <t>KLHL42</t>
  </si>
  <si>
    <t>Homo sapiens kelch-like family member 42 (KLHL42)</t>
  </si>
  <si>
    <t>NP_065833.1</t>
  </si>
  <si>
    <t>PH_hs_0048588</t>
  </si>
  <si>
    <t>IRS2</t>
  </si>
  <si>
    <t>Homo sapiens insulin receptor substrate 2 (IRS2)</t>
  </si>
  <si>
    <t>NP_003740.2</t>
  </si>
  <si>
    <t>ENST00000375856</t>
  </si>
  <si>
    <t>ENSP00000365016</t>
  </si>
  <si>
    <t>PH_hs_0048594</t>
  </si>
  <si>
    <t>PH_hs_0048602</t>
  </si>
  <si>
    <t>ERO1LB</t>
  </si>
  <si>
    <t>Homo sapiens ERO1-like beta (S. cerevisiae)</t>
  </si>
  <si>
    <t>NP_063944.3</t>
  </si>
  <si>
    <t>PH_hs_0048621</t>
  </si>
  <si>
    <t>PH_hs_0048624</t>
  </si>
  <si>
    <t>PH_hs_0048628</t>
  </si>
  <si>
    <t>PH_hs_0048639</t>
  </si>
  <si>
    <t>PH_hs_0048640</t>
  </si>
  <si>
    <t>PH_hs_0048649</t>
  </si>
  <si>
    <t>PH_hs_0048661</t>
  </si>
  <si>
    <t>PH_hs_0048662</t>
  </si>
  <si>
    <t>PH_hs_0048676</t>
  </si>
  <si>
    <t>PH_hs_0048683</t>
  </si>
  <si>
    <t>PH_hs_0048685</t>
  </si>
  <si>
    <t>PH_hs_0048705</t>
  </si>
  <si>
    <t>PH_hs_0048715</t>
  </si>
  <si>
    <t>PH_hs_0048722</t>
  </si>
  <si>
    <t>PH_hs_0048724</t>
  </si>
  <si>
    <t>PH_hs_0048728</t>
  </si>
  <si>
    <t>PH_hs_0048729</t>
  </si>
  <si>
    <t>PH_hs_0048730</t>
  </si>
  <si>
    <t>PH_hs_0048745</t>
  </si>
  <si>
    <t>PH_hs_0048746</t>
  </si>
  <si>
    <t>PH_hs_0048750</t>
  </si>
  <si>
    <t>PH_hs_0048753</t>
  </si>
  <si>
    <t>PH_hs_0048759</t>
  </si>
  <si>
    <t>PH_hs_0048760</t>
  </si>
  <si>
    <t>PH_hs_0048767</t>
  </si>
  <si>
    <t>PH_hs_0048769</t>
  </si>
  <si>
    <t>PH_hs_0048770</t>
  </si>
  <si>
    <t>PH_hs_0048774</t>
  </si>
  <si>
    <t>PH_hs_0048775</t>
  </si>
  <si>
    <t>PH_hs_0048776</t>
  </si>
  <si>
    <t>PH_hs_0048777</t>
  </si>
  <si>
    <t>PH_hs_0048778</t>
  </si>
  <si>
    <t>PH_hs_0048779</t>
  </si>
  <si>
    <t>PH_hs_0048781</t>
  </si>
  <si>
    <t>PH_hs_0048785</t>
  </si>
  <si>
    <t>PH_hs_0048794</t>
  </si>
  <si>
    <t>PH_hs_0048800</t>
  </si>
  <si>
    <t>PH_hs_0048805</t>
  </si>
  <si>
    <t>PH_hs_0048806</t>
  </si>
  <si>
    <t>PH_hs_0048810</t>
  </si>
  <si>
    <t>PH_hs_0048817</t>
  </si>
  <si>
    <t>PH_hs_0048821</t>
  </si>
  <si>
    <t>PH_hs_0048832</t>
  </si>
  <si>
    <t>NP_055325.2</t>
  </si>
  <si>
    <t>PH_hs_0048841</t>
  </si>
  <si>
    <t>PH_hs_0048843</t>
  </si>
  <si>
    <t>PH_hs_0048850</t>
  </si>
  <si>
    <t>PH_hs_0048852</t>
  </si>
  <si>
    <t>PH_hs_0048858</t>
  </si>
  <si>
    <t>PH_hs_0048862</t>
  </si>
  <si>
    <t>PH_hs_0048876</t>
  </si>
  <si>
    <t>PH_hs_0048889</t>
  </si>
  <si>
    <t>PH_hs_0048891</t>
  </si>
  <si>
    <t>PH_hs_0048900</t>
  </si>
  <si>
    <t>PH_hs_0048923</t>
  </si>
  <si>
    <t>PH_hs_0048924</t>
  </si>
  <si>
    <t>PH_hs_0048938</t>
  </si>
  <si>
    <t>ARHGAP31</t>
  </si>
  <si>
    <t>Homo sapiens Rho GTPase activating protein 31 (ARHGAP31)</t>
  </si>
  <si>
    <t>NP_065805.2</t>
  </si>
  <si>
    <t>PH_hs_0048940</t>
  </si>
  <si>
    <t>PH_hs_0048944</t>
  </si>
  <si>
    <t>PH_hs_0048950</t>
  </si>
  <si>
    <t>PH_hs_0048953</t>
  </si>
  <si>
    <t>PH_hs_0048960</t>
  </si>
  <si>
    <t>PH_hs_0048961</t>
  </si>
  <si>
    <t>PH_hs_0048963</t>
  </si>
  <si>
    <t>PH_hs_0048972</t>
  </si>
  <si>
    <t>PH_hs_0048979</t>
  </si>
  <si>
    <t>PH_hs_0048992</t>
  </si>
  <si>
    <t>PH_hs_0048995</t>
  </si>
  <si>
    <t>PH_hs_0048996</t>
  </si>
  <si>
    <t>PH_hs_0048997</t>
  </si>
  <si>
    <t>PH_hs_0049002</t>
  </si>
  <si>
    <t>PH_hs_0049013</t>
  </si>
  <si>
    <t>PH_hs_0049015</t>
  </si>
  <si>
    <t>PH_hs_0049021</t>
  </si>
  <si>
    <t>PH_hs_0049025</t>
  </si>
  <si>
    <t>PH_hs_0049035</t>
  </si>
  <si>
    <t>PRKAB2</t>
  </si>
  <si>
    <t>NP_005390.1</t>
  </si>
  <si>
    <t>ENSP00000254101</t>
  </si>
  <si>
    <t>PH_hs_0049038</t>
  </si>
  <si>
    <t>PH_hs_0049044</t>
  </si>
  <si>
    <t>PH_hs_0049048</t>
  </si>
  <si>
    <t>PH_hs_0049050</t>
  </si>
  <si>
    <t>PH_hs_0049053</t>
  </si>
  <si>
    <t>PH_hs_0049059</t>
  </si>
  <si>
    <t>PH_hs_0049067</t>
  </si>
  <si>
    <t>PH_hs_0049077</t>
  </si>
  <si>
    <t>PH_hs_0049098</t>
  </si>
  <si>
    <t>PH_hs_0049102</t>
  </si>
  <si>
    <t>KCMF1</t>
  </si>
  <si>
    <t>Homo sapiens potassium channel modulatory factor 1 (KCMF1)</t>
  </si>
  <si>
    <t>NP_064507.3</t>
  </si>
  <si>
    <t>PH_hs_0049104</t>
  </si>
  <si>
    <t>PH_hs_0049107</t>
  </si>
  <si>
    <t>PH_hs_0049110</t>
  </si>
  <si>
    <t>PH_hs_0049111</t>
  </si>
  <si>
    <t>PH_hs_0049122</t>
  </si>
  <si>
    <t>PH_hs_0049128</t>
  </si>
  <si>
    <t>NP_055827.1</t>
  </si>
  <si>
    <t>PH_hs_0049140</t>
  </si>
  <si>
    <t>CGGBP1</t>
  </si>
  <si>
    <t>Homo sapiens CGG triplet repeat binding protein 1 (CGGBP1)</t>
  </si>
  <si>
    <t>PH_hs_0049171</t>
  </si>
  <si>
    <t>PH_hs_0049172</t>
  </si>
  <si>
    <t>PH_hs_0049204</t>
  </si>
  <si>
    <t>PH_hs_0049217</t>
  </si>
  <si>
    <t>PH_hs_0049225</t>
  </si>
  <si>
    <t>PH_hs_0049227</t>
  </si>
  <si>
    <t>PH_hs_0049231</t>
  </si>
  <si>
    <t>PH_hs_0049239</t>
  </si>
  <si>
    <t>PH_hs_0049240</t>
  </si>
  <si>
    <t>PH_hs_0049251</t>
  </si>
  <si>
    <t>PH_hs_0049255</t>
  </si>
  <si>
    <t>PH_hs_0049262</t>
  </si>
  <si>
    <t>PH_hs_0049270</t>
  </si>
  <si>
    <t>PH_hs_0049276</t>
  </si>
  <si>
    <t>PH_hs_0049298</t>
  </si>
  <si>
    <t>PH_hs_0049300</t>
  </si>
  <si>
    <t>PH_hs_0049301</t>
  </si>
  <si>
    <t>PH_hs_0049305</t>
  </si>
  <si>
    <t>PH_hs_0049319</t>
  </si>
  <si>
    <t>PH_hs_0049323</t>
  </si>
  <si>
    <t>PH_hs_0049327</t>
  </si>
  <si>
    <t>PH_hs_0049331</t>
  </si>
  <si>
    <t>PH_hs_0049332</t>
  </si>
  <si>
    <t>PH_hs_0049335</t>
  </si>
  <si>
    <t>PH_hs_0049343</t>
  </si>
  <si>
    <t>PH_hs_0049351</t>
  </si>
  <si>
    <t>NATD1</t>
  </si>
  <si>
    <t>Homo sapiens N-acetyltransferase domain containing 1 (NATD1)</t>
  </si>
  <si>
    <t>NP_690878.2</t>
  </si>
  <si>
    <t>ENST00000611551</t>
  </si>
  <si>
    <t>ENSP00000478388</t>
  </si>
  <si>
    <t>PH_hs_0049354</t>
  </si>
  <si>
    <t>PH_hs_0049358</t>
  </si>
  <si>
    <t>PH_hs_0049361</t>
  </si>
  <si>
    <t>PH_hs_0049364</t>
  </si>
  <si>
    <t>PH_hs_0049371</t>
  </si>
  <si>
    <t>PH_hs_0049380</t>
  </si>
  <si>
    <t>PH_hs_0049387</t>
  </si>
  <si>
    <t>PH_hs_0049388</t>
  </si>
  <si>
    <t>PH_hs_0049392</t>
  </si>
  <si>
    <t>PH_hs_0049394</t>
  </si>
  <si>
    <t>PH_hs_0049395</t>
  </si>
  <si>
    <t>PH_hs_0049404</t>
  </si>
  <si>
    <t>PH_hs_0049409</t>
  </si>
  <si>
    <t>PH_hs_0049412</t>
  </si>
  <si>
    <t>PH_hs_0049415</t>
  </si>
  <si>
    <t>PH_hs_0049430</t>
  </si>
  <si>
    <t>ENSP00000357840</t>
  </si>
  <si>
    <t>PH_hs_0049447</t>
  </si>
  <si>
    <t>PH_hs_0049466</t>
  </si>
  <si>
    <t>PH_hs_0049486</t>
  </si>
  <si>
    <t>TBC1D3B|TBC1D3|TBC1D3F|TBC1D3C|TBC1D3P2|TBC1D3H</t>
  </si>
  <si>
    <t>414059|729873|84218|414060|440452|729877</t>
  </si>
  <si>
    <t>NM_001001417|NM_001123391|NM_032258|NM_001001418|NR_027486|NM_001123392</t>
  </si>
  <si>
    <t>NP_001001417.6|NP_001116863.3|NP_115634.3|NP_001001418.5|-|NP_001116864.3</t>
  </si>
  <si>
    <t>ENSG00000274808|ENSG00000274611|ENSG00000275954|ENSG00000278299|ENSG00000274226</t>
  </si>
  <si>
    <t>PH_hs_0049488</t>
  </si>
  <si>
    <t>ATP5E|SLMO2-ATP5E|ATP5EP2</t>
  </si>
  <si>
    <t>514|100533975|432369</t>
  </si>
  <si>
    <t>PH_hs_0049495</t>
  </si>
  <si>
    <t>ZNF468</t>
  </si>
  <si>
    <t>Homo sapiens zinc finger protein 468 (ZNF468)</t>
  </si>
  <si>
    <t>NP_001008801.1</t>
  </si>
  <si>
    <t>PH_hs_0049524</t>
  </si>
  <si>
    <t>PH_hs_0049532</t>
  </si>
  <si>
    <t>ARHGAP11A|ARHGAP11B</t>
  </si>
  <si>
    <t>Homo sapiens Rho GTPase activating protein 11A (ARHGAP11A)|Homo sapiens Rho GTPase activating protein 11B (ARHGAP11B)</t>
  </si>
  <si>
    <t>9824|89839</t>
  </si>
  <si>
    <t>NM_199357|NM_001039841</t>
  </si>
  <si>
    <t>NP_955389.1|NP_001034930.1</t>
  </si>
  <si>
    <t>ENSG00000198826|ENSG00000187951</t>
  </si>
  <si>
    <t>PH_hs_0049536</t>
  </si>
  <si>
    <t>DBNDD2|SYS1-DBNDD2</t>
  </si>
  <si>
    <t>Homo sapiens dysbindin (dystrobrevin binding protein 1)|Homo sapiens SYS1-DBNDD2 readthrough (NMD candidate)</t>
  </si>
  <si>
    <t>55861|767557</t>
  </si>
  <si>
    <t>ASAH2B|ASAH2</t>
  </si>
  <si>
    <t>Homo sapiens N-acylsphingosine amidohydrolase (non-lysosomal ceramidase)|Homo sapiens N-acylsphingosine amidohydrolase (non-lysosomal ceramidase)</t>
  </si>
  <si>
    <t>653308|56624</t>
  </si>
  <si>
    <t>ENSG00000204147|ENSG00000188611</t>
  </si>
  <si>
    <t>PH_hs_0049556</t>
  </si>
  <si>
    <t>NBPF15|NBPF14|NBPF11|NBPF3|NBPF22P</t>
  </si>
  <si>
    <t>284565|25832|200030|84224|285622</t>
  </si>
  <si>
    <t>ENSG00000266338|ENSG00000270629|ENSG00000263956|ENSG00000142794</t>
  </si>
  <si>
    <t>PH_hs_0049562</t>
  </si>
  <si>
    <t>PH_hs_0049563</t>
  </si>
  <si>
    <t>PH_hs_0049564</t>
  </si>
  <si>
    <t>PH_hs_0049572</t>
  </si>
  <si>
    <t>PH_hs_0049575</t>
  </si>
  <si>
    <t>CPT1B|CHKB-CPT1B</t>
  </si>
  <si>
    <t>Homo sapiens carnitine palmitoyltransferase 1B (muscle)|Homo sapiens CHKB-CPT1B readthrough (NMD candidate)</t>
  </si>
  <si>
    <t>1375|386593</t>
  </si>
  <si>
    <t>PH_hs_0049578</t>
  </si>
  <si>
    <t>PH_hs_0049580</t>
  </si>
  <si>
    <t>TICAM2|TMED7-TICAM2</t>
  </si>
  <si>
    <t>Homo sapiens toll-like receptor adaptor molecule 2 (TICAM2)|Homo sapiens TMED7-TICAM2 readthrough (TMED7-TICAM2)</t>
  </si>
  <si>
    <t>353376|100302736</t>
  </si>
  <si>
    <t>ENSG00000243414|ENSG00000251201</t>
  </si>
  <si>
    <t>PH_hs_0049582</t>
  </si>
  <si>
    <t>MAGEA6|MAGEA3</t>
  </si>
  <si>
    <t>Homo sapiens melanoma antigen family A6 (MAGEA6)|Homo sapiens melanoma antigen family A3 (MAGEA3)</t>
  </si>
  <si>
    <t>4105|4102</t>
  </si>
  <si>
    <t>ENSG00000197172|ENSG00000221867</t>
  </si>
  <si>
    <t>PH_hs_0049586</t>
  </si>
  <si>
    <t>PH_hs_0049588</t>
  </si>
  <si>
    <t>PH_hs_0049591</t>
  </si>
  <si>
    <t>PH_hs_0049604</t>
  </si>
  <si>
    <t>PAK2</t>
  </si>
  <si>
    <t>NP_002568.2</t>
  </si>
  <si>
    <t>PH_hs_0049610</t>
  </si>
  <si>
    <t>SNRPN|SNURF</t>
  </si>
  <si>
    <t>Homo sapiens small nuclear ribonucleoprotein polypeptide N (SNRPN)|Homo sapiens SNRPN upstream reading frame (SNURF)</t>
  </si>
  <si>
    <t>6638|8926</t>
  </si>
  <si>
    <t>ENSG00000128739|ENSG00000273173</t>
  </si>
  <si>
    <t>PH_hs_0049613</t>
  </si>
  <si>
    <t>TFAMP1</t>
  </si>
  <si>
    <t>PH_hs_0049621</t>
  </si>
  <si>
    <t>FCGBP</t>
  </si>
  <si>
    <t>Homo sapiens Fc fragment of IgG binding protein (FCGBP)</t>
  </si>
  <si>
    <t>NP_003881.2</t>
  </si>
  <si>
    <t>ENST00000628705</t>
  </si>
  <si>
    <t>ENSP00000487490</t>
  </si>
  <si>
    <t>PH_hs_0049630</t>
  </si>
  <si>
    <t>KRT16</t>
  </si>
  <si>
    <t>NP_005548.2</t>
  </si>
  <si>
    <t>PH_hs_0049631</t>
  </si>
  <si>
    <t>MT1IP|MT1X|MT1E|MT1A|MT2A|MT1B|MT1L|MT1H</t>
  </si>
  <si>
    <t>644314|4501|4493|4489|4502|4490|4500|4496</t>
  </si>
  <si>
    <t>NR_003669|NM_005952|NM_175617|NM_005946|NM_005953|NM_005947|NR_001447|NM_005951</t>
  </si>
  <si>
    <t>-|NP_005943.1|NP_783316.2|NP_005937.2|NP_005944.1|NP_005938.1|-|NP_005942.1</t>
  </si>
  <si>
    <t>ENSG00000187193|ENSG00000169715|ENSG00000205362|ENSG00000125148|ENSG00000169688|ENSG00000260549|ENSG00000205358</t>
  </si>
  <si>
    <t>PH_hs_0049635</t>
  </si>
  <si>
    <t>PH_hs_0049641</t>
  </si>
  <si>
    <t>TIMM8B</t>
  </si>
  <si>
    <t>Homo sapiens translocase of inner mitochondrial membrane 8 homolog B (yeast)</t>
  </si>
  <si>
    <t>PH_hs_0049660</t>
  </si>
  <si>
    <t>PCDHA8|PCDHA6|PCDHA1|PCDHA2|PCDHA11|PCDHA10|PCDHA13|PCDHA5|PCDHA4|PCDHA3</t>
  </si>
  <si>
    <t>Homo sapiens protocadherin alpha 8 (PCDHA8)|Homo sapiens protocadherin alpha 6 (PCDHA6)|Homo sapiens protocadherin alpha 1 (PCDHA1)|Homo sapiens protocadherin alpha 2 (PCDHA2)|Homo sapiens protocadherin alpha 11 (PCDHA11)|Homo sapiens protocadherin alpha 10 (PCDHA10)|Homo sapiens protocadherin alpha 13 (PCDHA13)|Homo sapiens protocadherin alpha 5 (PCDHA5)|Homo sapiens protocadherin alpha 4 (PCDHA4)|Homo sapiens protocadherin alpha 3 (PCDHA3)</t>
  </si>
  <si>
    <t>56140|56142|56147|56146|56138|56139|56136|56143|56144|56145</t>
  </si>
  <si>
    <t>NM_031856|NM_031848|NM_031410|NM_031495|NM_031861|NM_031859|NM_031865|NM_031501|NM_031500|NM_031497</t>
  </si>
  <si>
    <t>NP_114062.1|NP_114036.1|NP_113598.1|NP_113683.1|NP_114067.1|NP_114065.1|NP_114071.1|NP_113689.1|NP_113688.1|NP_113685.1</t>
  </si>
  <si>
    <t>ENSG00000204962|ENSG00000081842|ENSG00000204970|ENSG00000204969|ENSG00000249158|ENSG00000250120|ENSG00000239389|ENSG00000204965|ENSG00000204967|ENSG00000255408</t>
  </si>
  <si>
    <t>Homo sapiens chemokine (C-C motif)|Homo sapiens CCL15-CCL14 readthrough (NMD candidate)</t>
  </si>
  <si>
    <t>PH_hs_0049665</t>
  </si>
  <si>
    <t>CCL15|CCL15-CCL14</t>
  </si>
  <si>
    <t>6359|348249</t>
  </si>
  <si>
    <t>PH_hs_0049667</t>
  </si>
  <si>
    <t>CATSPER2|CATSPER2P1</t>
  </si>
  <si>
    <t>117155|440278</t>
  </si>
  <si>
    <t>ENSG00000166762|ENSG00000205771</t>
  </si>
  <si>
    <t>PH_hs_0049673</t>
  </si>
  <si>
    <t>DPY19L2|DPY19L2P4</t>
  </si>
  <si>
    <t>Homo sapiens dpy-19-like 2 (C. elegans)|Homo sapiens DPY19L2 pseudogene 4 (DPY19L2P4)</t>
  </si>
  <si>
    <t>283417|442523</t>
  </si>
  <si>
    <t>NM_173812|NR_003551</t>
  </si>
  <si>
    <t>NP_776173.3|-</t>
  </si>
  <si>
    <t>ENSG00000177990|ENSG00000235436</t>
  </si>
  <si>
    <t>PH_hs_0049681</t>
  </si>
  <si>
    <t>SUMO4</t>
  </si>
  <si>
    <t>Homo sapiens small ubiquitin-like modifier 4 (SUMO4)</t>
  </si>
  <si>
    <t>NP_001002255.1</t>
  </si>
  <si>
    <t>ENST00000326669</t>
  </si>
  <si>
    <t>ENSP00000318635</t>
  </si>
  <si>
    <t>PH_hs_0049687</t>
  </si>
  <si>
    <t>OR9G1|OR9G9</t>
  </si>
  <si>
    <t>390174|504191</t>
  </si>
  <si>
    <t>NM_001005213|NM_001013358</t>
  </si>
  <si>
    <t>NP_001005213.1|NP_001013376.2</t>
  </si>
  <si>
    <t>ENSG00000174914|ENSG00000262191</t>
  </si>
  <si>
    <t>ENST00000312153|ENST00000571130</t>
  </si>
  <si>
    <t>ENSP00000309012|ENSP00000458970</t>
  </si>
  <si>
    <t>PH_hs_0049696</t>
  </si>
  <si>
    <t>SLX1B|SLX1A</t>
  </si>
  <si>
    <t>Homo sapiens SLX1 structure-specific endonuclease subunit homolog B (S. cerevisiae)|Homo sapiens SLX1 structure-specific endonuclease subunit homolog A (S. cerevisiae)</t>
  </si>
  <si>
    <t>79008|548593</t>
  </si>
  <si>
    <t>ENSG00000181625|ENSG00000132207</t>
  </si>
  <si>
    <t>PH_hs_0049701</t>
  </si>
  <si>
    <t>BOLA2B|BOLA2</t>
  </si>
  <si>
    <t>Homo sapiens bolA family member 2B (BOLA2B)|Homo sapiens bolA family member 2 (BOLA2)</t>
  </si>
  <si>
    <t>654483|552900</t>
  </si>
  <si>
    <t>NM_001039182|NM_001031827</t>
  </si>
  <si>
    <t>NP_001034271.1|NP_001026997.1</t>
  </si>
  <si>
    <t>ENSG00000169627|ENSG00000183336</t>
  </si>
  <si>
    <t>PH_hs_0049705</t>
  </si>
  <si>
    <t>RGPD2|RGPD3</t>
  </si>
  <si>
    <t>Homo sapiens RANBP2-like and GRIP domain containing 2 (RGPD2)|Homo sapiens RANBP2-like and GRIP domain containing 3 (RGPD3)</t>
  </si>
  <si>
    <t>729857|653489</t>
  </si>
  <si>
    <t>NM_001078170|NM_001144013</t>
  </si>
  <si>
    <t>NP_001071638.2|NP_001137485.1</t>
  </si>
  <si>
    <t>ENSG00000187627|ENSG00000153165</t>
  </si>
  <si>
    <t>PH_hs_0049709</t>
  </si>
  <si>
    <t>MAP1LC3B2</t>
  </si>
  <si>
    <t>Homo sapiens microtubule-associated protein 1 light chain 3 beta 2 (MAP1LC3B2)</t>
  </si>
  <si>
    <t>NP_001078950.1</t>
  </si>
  <si>
    <t>ENSP00000450524</t>
  </si>
  <si>
    <t>PH_hs_0049711</t>
  </si>
  <si>
    <t>FOXD4L4|FOXD4L5</t>
  </si>
  <si>
    <t>Homo sapiens forkhead box D4-like 4 (FOXD4L4)|Homo sapiens forkhead box D4-like 5 (FOXD4L5)</t>
  </si>
  <si>
    <t>349334|653427</t>
  </si>
  <si>
    <t>NM_199244|NM_001126334</t>
  </si>
  <si>
    <t>NP_954714.2|NP_001119806.1</t>
  </si>
  <si>
    <t>ENSG00000184659|ENSG00000204779</t>
  </si>
  <si>
    <t>ENST00000377413|ENST00000377420</t>
  </si>
  <si>
    <t>ENSP00000366630|ENSP00000366637</t>
  </si>
  <si>
    <t>FAM72A|FAM72B|FAM72D</t>
  </si>
  <si>
    <t>729533|653820|728833</t>
  </si>
  <si>
    <t>NM_001123168|NM_001100910|NM_207418</t>
  </si>
  <si>
    <t>NP_001116640.1|NP_001094380.1|NP_997301.2</t>
  </si>
  <si>
    <t>ENSG00000196550|ENSG00000188610|ENSG00000215784</t>
  </si>
  <si>
    <t>PH_hs_0049715</t>
  </si>
  <si>
    <t>JMJD7</t>
  </si>
  <si>
    <t>Homo sapiens jumonji domain containing 7 (JMJD7)</t>
  </si>
  <si>
    <t>NP_001108104.1</t>
  </si>
  <si>
    <t>PH_hs_0049727</t>
  </si>
  <si>
    <t>NP_001157710.1</t>
  </si>
  <si>
    <t>FOXO3|FOXO3B</t>
  </si>
  <si>
    <t>Homo sapiens forkhead box O3 (FOXO3)|Homo sapiens forkhead box O3B pseudogene (FOXO3B)</t>
  </si>
  <si>
    <t>2309|2310</t>
  </si>
  <si>
    <t>PH_hs_0049738</t>
  </si>
  <si>
    <t>WBP1|INO80B-WBP1</t>
  </si>
  <si>
    <t>Homo sapiens WW domain binding protein 1 (WBP1)|Homo sapiens INO80B-WBP1 readthrough (NMD candidate)</t>
  </si>
  <si>
    <t>23559|100532735</t>
  </si>
  <si>
    <t>NM_012477|NR_037849</t>
  </si>
  <si>
    <t>NP_036609.1|-</t>
  </si>
  <si>
    <t>ENSG00000279973|ENSG00000279973</t>
  </si>
  <si>
    <t>ENST00000624155|ENST00000624155</t>
  </si>
  <si>
    <t>ENSP00000485185|ENSP00000485185</t>
  </si>
  <si>
    <t>PH_hs_0049748</t>
  </si>
  <si>
    <t>LRRC37A3|LRRC37A6P</t>
  </si>
  <si>
    <t>374819|387646</t>
  </si>
  <si>
    <t>NM_199340|NR_003525</t>
  </si>
  <si>
    <t>NP_955372.2|-</t>
  </si>
  <si>
    <t>PH_hs_0060008</t>
  </si>
  <si>
    <t>PH_hs_0060010</t>
  </si>
  <si>
    <t>AIDA</t>
  </si>
  <si>
    <t>NP_073742.2</t>
  </si>
  <si>
    <t>PH_hs_0060018</t>
  </si>
  <si>
    <t>TMA7</t>
  </si>
  <si>
    <t>Homo sapiens translation machinery associated 7 homolog (S. cerevisiae)</t>
  </si>
  <si>
    <t>NP_057017.1</t>
  </si>
  <si>
    <t>PH_hs_0060021</t>
  </si>
  <si>
    <t>ACOT2</t>
  </si>
  <si>
    <t>Homo sapiens acyl-CoA thioesterase 2 (ACOT2)</t>
  </si>
  <si>
    <t>PH_hs_0060028</t>
  </si>
  <si>
    <t>HIST1H2AM</t>
  </si>
  <si>
    <t>NP_003505.1</t>
  </si>
  <si>
    <t>ENST00000359611</t>
  </si>
  <si>
    <t>ENSP00000352627</t>
  </si>
  <si>
    <t>PH_hs_0060048</t>
  </si>
  <si>
    <t>NP_001129293.1</t>
  </si>
  <si>
    <t>PH_hs_0060058</t>
  </si>
  <si>
    <t>NP_001155097.1</t>
  </si>
  <si>
    <t>ATRAID</t>
  </si>
  <si>
    <t>Homo sapiens all-trans retinoic acid-induced differentiation factor (ATRAID)</t>
  </si>
  <si>
    <t>PH_hs_0060082</t>
  </si>
  <si>
    <t>NP_001164634.1</t>
  </si>
  <si>
    <t>PH_hs_0060090</t>
  </si>
  <si>
    <t>NP_001165416.1</t>
  </si>
  <si>
    <t>PH_hs_0060098</t>
  </si>
  <si>
    <t>NP_001034666.1</t>
  </si>
  <si>
    <t>PH_hs_0060126</t>
  </si>
  <si>
    <t>NP_940858.2</t>
  </si>
  <si>
    <t>PH_hs_0060129</t>
  </si>
  <si>
    <t>NP_001171821.1</t>
  </si>
  <si>
    <t>PH_hs_0060143</t>
  </si>
  <si>
    <t>NP_001177885.1</t>
  </si>
  <si>
    <t>PH_hs_0060148</t>
  </si>
  <si>
    <t>ERVV-1</t>
  </si>
  <si>
    <t>NP_689686.2</t>
  </si>
  <si>
    <t>ENST00000602168</t>
  </si>
  <si>
    <t>ENSP00000473153</t>
  </si>
  <si>
    <t>PH_hs_0060160</t>
  </si>
  <si>
    <t>C16orf95</t>
  </si>
  <si>
    <t>Homo sapiens chromosome 16 open reading frame 95 (C16orf95)</t>
  </si>
  <si>
    <t>NP_001182053.1</t>
  </si>
  <si>
    <t>PH_hs_0060162</t>
  </si>
  <si>
    <t>PRSS56</t>
  </si>
  <si>
    <t>NP_001182058.1</t>
  </si>
  <si>
    <t>PH_hs_0060165</t>
  </si>
  <si>
    <t>LCE1A</t>
  </si>
  <si>
    <t>Homo sapiens late cornified envelope 1A (LCE1A)</t>
  </si>
  <si>
    <t>NP_848125.1</t>
  </si>
  <si>
    <t>ENST00000335123</t>
  </si>
  <si>
    <t>ENSP00000334869</t>
  </si>
  <si>
    <t>PH_hs_0060178</t>
  </si>
  <si>
    <t>TGFBR3L</t>
  </si>
  <si>
    <t>NP_001182188.1</t>
  </si>
  <si>
    <t>ENSP00000457962</t>
  </si>
  <si>
    <t>PH_hs_0060199</t>
  </si>
  <si>
    <t>NP_001184163.1</t>
  </si>
  <si>
    <t>PH_hs_0060263</t>
  </si>
  <si>
    <t>NP_001185612.1</t>
  </si>
  <si>
    <t>PH_hs_0060271</t>
  </si>
  <si>
    <t>MUSTN1</t>
  </si>
  <si>
    <t>NP_995325.3</t>
  </si>
  <si>
    <t>PH_hs_0060281</t>
  </si>
  <si>
    <t>NP_001186716.1</t>
  </si>
  <si>
    <t>PH_hs_0060285</t>
  </si>
  <si>
    <t>MDP1</t>
  </si>
  <si>
    <t>Homo sapiens magnesium-dependent phosphatase 1 (MDP1)</t>
  </si>
  <si>
    <t>NP_001186751.1</t>
  </si>
  <si>
    <t>PH_hs_0060288</t>
  </si>
  <si>
    <t>NP_001186829.1</t>
  </si>
  <si>
    <t>PH_hs_0060299</t>
  </si>
  <si>
    <t>RPS10</t>
  </si>
  <si>
    <t>Homo sapiens ribosomal protein S10 (RPS10)</t>
  </si>
  <si>
    <t>NP_001190174.1</t>
  </si>
  <si>
    <t>PH_hs_0060328</t>
  </si>
  <si>
    <t>NP_001193995.1</t>
  </si>
  <si>
    <t>PH_hs_0060329</t>
  </si>
  <si>
    <t>PH_hs_0060331</t>
  </si>
  <si>
    <t>NP_001964.2</t>
  </si>
  <si>
    <t>PH_hs_0060347</t>
  </si>
  <si>
    <t>NP_001229760.1</t>
  </si>
  <si>
    <t>PH_hs_0060432</t>
  </si>
  <si>
    <t>NP_775322.1</t>
  </si>
  <si>
    <t>PH_hs_0060444</t>
  </si>
  <si>
    <t>NP_001230354.1</t>
  </si>
  <si>
    <t>PH_hs_0060450</t>
  </si>
  <si>
    <t>UBE2Q2L</t>
  </si>
  <si>
    <t>Homo sapiens ubiquitin-conjugating enzyme E2Q family member 2-like (UBE2Q2L)</t>
  </si>
  <si>
    <t>NP_001230460.1</t>
  </si>
  <si>
    <t>ENST00000558195</t>
  </si>
  <si>
    <t>ENSP00000453012</t>
  </si>
  <si>
    <t>PH_hs_0060499</t>
  </si>
  <si>
    <t>RPS8</t>
  </si>
  <si>
    <t>Homo sapiens ribosomal protein S8 (RPS8)</t>
  </si>
  <si>
    <t>NP_001003.1</t>
  </si>
  <si>
    <t>PH_hs_0060509</t>
  </si>
  <si>
    <t>FAM207A</t>
  </si>
  <si>
    <t>NP_478070.1</t>
  </si>
  <si>
    <t>PH_hs_0060518</t>
  </si>
  <si>
    <t>PSMD4</t>
  </si>
  <si>
    <t>NP_002801.1</t>
  </si>
  <si>
    <t>PH_hs_0060520</t>
  </si>
  <si>
    <t>GAPDH</t>
  </si>
  <si>
    <t>Homo sapiens glyceraldehyde-3-phosphate dehydrogenase (GAPDH)</t>
  </si>
  <si>
    <t>NP_002037.2</t>
  </si>
  <si>
    <t>PH_hs_0060528</t>
  </si>
  <si>
    <t>PH_hs_0060545</t>
  </si>
  <si>
    <t>PH_hs_0060550</t>
  </si>
  <si>
    <t>PH_hs_0060560</t>
  </si>
  <si>
    <t>PH_hs_0060562</t>
  </si>
  <si>
    <t>PH_hs_0060565</t>
  </si>
  <si>
    <t>ENSG00000179104</t>
  </si>
  <si>
    <t>PH_hs_0060601</t>
  </si>
  <si>
    <t>PH_hs_0060603</t>
  </si>
  <si>
    <t>PH_hs_0060608</t>
  </si>
  <si>
    <t>PH_hs_0060609</t>
  </si>
  <si>
    <t>PH_hs_0060610</t>
  </si>
  <si>
    <t>ENSG00000139329</t>
  </si>
  <si>
    <t>PH_hs_0060613</t>
  </si>
  <si>
    <t>ENSG00000082497</t>
  </si>
  <si>
    <t>PH_hs_0060614</t>
  </si>
  <si>
    <t>PH_hs_0060616</t>
  </si>
  <si>
    <t>PH_hs_0060626</t>
  </si>
  <si>
    <t>PH_hs_0060636</t>
  </si>
  <si>
    <t>PH_hs_0060652</t>
  </si>
  <si>
    <t>PH_hs_0060654</t>
  </si>
  <si>
    <t>PH_hs_0060656</t>
  </si>
  <si>
    <t>ENSG00000091164</t>
  </si>
  <si>
    <t>PH_hs_0060657</t>
  </si>
  <si>
    <t>PH_hs_0060660</t>
  </si>
  <si>
    <t>PH_hs_0060695</t>
  </si>
  <si>
    <t>PH_hs_0060705</t>
  </si>
  <si>
    <t>PH_hs_0060706</t>
  </si>
  <si>
    <t>ENSG00000106993</t>
  </si>
  <si>
    <t>PH_hs_0060707</t>
  </si>
  <si>
    <t>PH_hs_0060711</t>
  </si>
  <si>
    <t>ENSG00000132164</t>
  </si>
  <si>
    <t>PH_hs_0060738</t>
  </si>
  <si>
    <t>PH_hs_0060741</t>
  </si>
  <si>
    <t>PH_hs_0060748</t>
  </si>
  <si>
    <t>PH_hs_0060753</t>
  </si>
  <si>
    <t>ENSG00000164253</t>
  </si>
  <si>
    <t>PH_hs_0060762</t>
  </si>
  <si>
    <t>ENSG00000164211</t>
  </si>
  <si>
    <t>PH_hs_0060763</t>
  </si>
  <si>
    <t>PH_hs_0060764</t>
  </si>
  <si>
    <t>PH_hs_0060766</t>
  </si>
  <si>
    <t>PH_hs_0060782</t>
  </si>
  <si>
    <t>ENSG00000110066</t>
  </si>
  <si>
    <t>PH_hs_0060786</t>
  </si>
  <si>
    <t>PH_hs_0060794</t>
  </si>
  <si>
    <t>ENSG00000189362</t>
  </si>
  <si>
    <t>PH_hs_0060800</t>
  </si>
  <si>
    <t>PH_hs_0060805</t>
  </si>
  <si>
    <t>PH_hs_0060808</t>
  </si>
  <si>
    <t>PH_hs_0060839</t>
  </si>
  <si>
    <t>PH_hs_0060851</t>
  </si>
  <si>
    <t>PH_hs_0060862</t>
  </si>
  <si>
    <t>ENSG00000072849</t>
  </si>
  <si>
    <t>PH_hs_0060945</t>
  </si>
  <si>
    <t>ENSG00000065621</t>
  </si>
  <si>
    <t>PH_hs_0060950</t>
  </si>
  <si>
    <t>ENSG00000177842</t>
  </si>
  <si>
    <t>PH_hs_0060951</t>
  </si>
  <si>
    <t>ENSG00000170385</t>
  </si>
  <si>
    <t>PH_hs_0060955</t>
  </si>
  <si>
    <t>ENSG00000178538</t>
  </si>
  <si>
    <t>PH_hs_0060968</t>
  </si>
  <si>
    <t>PH_hs_0060969</t>
  </si>
  <si>
    <t>PH_hs_0061007</t>
  </si>
  <si>
    <t>ENSG00000173214</t>
  </si>
  <si>
    <t>PH_hs_0061009</t>
  </si>
  <si>
    <t>DPH1|OVCA2</t>
  </si>
  <si>
    <t>Homo sapiens diphthamide biosynthesis 1 (DPH1)|Homo sapiens ovarian tumor suppressor candidate 2 (OVCA2)</t>
  </si>
  <si>
    <t>1801|124641</t>
  </si>
  <si>
    <t>NM_001383|NM_080822</t>
  </si>
  <si>
    <t>NP_001374.3|NP_543012.1</t>
  </si>
  <si>
    <t>ENSG00000108963|ENSG00000262664</t>
  </si>
  <si>
    <t>PH_hs_0061024</t>
  </si>
  <si>
    <t>ENSG00000213337</t>
  </si>
  <si>
    <t>PH_hs_0061036</t>
  </si>
  <si>
    <t>PH_hs_0061039</t>
  </si>
  <si>
    <t>PH_hs_0061047</t>
  </si>
  <si>
    <t>ENSG00000213380</t>
  </si>
  <si>
    <t>PH_hs_0061049</t>
  </si>
  <si>
    <t>PH_hs_0061057</t>
  </si>
  <si>
    <t>ENSG00000106031</t>
  </si>
  <si>
    <t>PH_hs_0061069</t>
  </si>
  <si>
    <t>PH_hs_0061087</t>
  </si>
  <si>
    <t>ENSG00000214046</t>
  </si>
  <si>
    <t>PH_hs_0061105</t>
  </si>
  <si>
    <t>ENSG00000166411</t>
  </si>
  <si>
    <t>PH_hs_0061112</t>
  </si>
  <si>
    <t>PH_hs_0061120</t>
  </si>
  <si>
    <t>PH_hs_0061126</t>
  </si>
  <si>
    <t>PH_hs_0061137</t>
  </si>
  <si>
    <t>ENSG00000126778</t>
  </si>
  <si>
    <t>PH_hs_0061151</t>
  </si>
  <si>
    <t>PH_hs_0061155</t>
  </si>
  <si>
    <t>PH_hs_0061168</t>
  </si>
  <si>
    <t>ENSG00000124596</t>
  </si>
  <si>
    <t>PH_hs_0061172</t>
  </si>
  <si>
    <t>PH_hs_0061177</t>
  </si>
  <si>
    <t>PH_hs_0061179</t>
  </si>
  <si>
    <t>ENSG00000124613</t>
  </si>
  <si>
    <t>PH_hs_0061199</t>
  </si>
  <si>
    <t>ENSG00000118242</t>
  </si>
  <si>
    <t>PH_hs_0061206</t>
  </si>
  <si>
    <t>PH_hs_0061217</t>
  </si>
  <si>
    <t>ENSG00000198162</t>
  </si>
  <si>
    <t>PH_hs_0061221</t>
  </si>
  <si>
    <t>PH_hs_0061224</t>
  </si>
  <si>
    <t>PH_hs_0061227</t>
  </si>
  <si>
    <t>PH_hs_0061249</t>
  </si>
  <si>
    <t>ENSG00000056586</t>
  </si>
  <si>
    <t>PH_hs_0061252</t>
  </si>
  <si>
    <t>PH_hs_0061256</t>
  </si>
  <si>
    <t>PH_hs_0061266</t>
  </si>
  <si>
    <t>TCAF1</t>
  </si>
  <si>
    <t>Homo sapiens TRPM8 channel-associated factor 1 (TCAF1)</t>
  </si>
  <si>
    <t>PH_hs_0061267</t>
  </si>
  <si>
    <t>ENSG00000140044</t>
  </si>
  <si>
    <t>PH_hs_0061273</t>
  </si>
  <si>
    <t>PH_hs_0061285</t>
  </si>
  <si>
    <t>ENSG00000152413</t>
  </si>
  <si>
    <t>PH_hs_0061294</t>
  </si>
  <si>
    <t>ENSG00000197312</t>
  </si>
  <si>
    <t>PH_hs_0061303</t>
  </si>
  <si>
    <t>DEFB131|LOC100129216</t>
  </si>
  <si>
    <t>644414|100129216</t>
  </si>
  <si>
    <t>NM_001040448|NM_001242853</t>
  </si>
  <si>
    <t>NP_001035538.2|NP_001229782.1</t>
  </si>
  <si>
    <t>ENSG00000186146|ENSG00000225805</t>
  </si>
  <si>
    <t>ENST00000334879|ENST00000530210</t>
  </si>
  <si>
    <t>ENSP00000335538|ENSP00000485141</t>
  </si>
  <si>
    <t>PH_hs_0061326</t>
  </si>
  <si>
    <t>PH_hs_0061363</t>
  </si>
  <si>
    <t>PH_hs_0061365</t>
  </si>
  <si>
    <t>ENSG00000198612</t>
  </si>
  <si>
    <t>PH_hs_0061381</t>
  </si>
  <si>
    <t>PH_hs_0061403</t>
  </si>
  <si>
    <t>ENSG00000154114</t>
  </si>
  <si>
    <t>PH_hs_0061413</t>
  </si>
  <si>
    <t>PH_hs_0061437</t>
  </si>
  <si>
    <t>PH_hs_0061438</t>
  </si>
  <si>
    <t>PH_hs_0061456</t>
  </si>
  <si>
    <t>PH_hs_0061458</t>
  </si>
  <si>
    <t>PH_hs_0061465</t>
  </si>
  <si>
    <t>PH_hs_0061474</t>
  </si>
  <si>
    <t>PH_hs_0061482</t>
  </si>
  <si>
    <t>ENSG00000116473</t>
  </si>
  <si>
    <t>PH_hs_0061493</t>
  </si>
  <si>
    <t>PH_hs_0061503</t>
  </si>
  <si>
    <t>PH_hs_0061547</t>
  </si>
  <si>
    <t>PH_hs_0061549</t>
  </si>
  <si>
    <t>PH_hs_0061552</t>
  </si>
  <si>
    <t>PH_hs_0061561</t>
  </si>
  <si>
    <t>ENSG00000114405</t>
  </si>
  <si>
    <t>PH_hs_0061573</t>
  </si>
  <si>
    <t>PH_hs_0061574</t>
  </si>
  <si>
    <t>PH_hs_0061576</t>
  </si>
  <si>
    <t>PH_hs_0061578</t>
  </si>
  <si>
    <t>PH_hs_0061583</t>
  </si>
  <si>
    <t>PH_hs_0061591</t>
  </si>
  <si>
    <t>ENSG00000153558</t>
  </si>
  <si>
    <t>PH_hs_0061611</t>
  </si>
  <si>
    <t>ENSG00000168273</t>
  </si>
  <si>
    <t>PH_hs_0061621</t>
  </si>
  <si>
    <t>PH_hs_0061625</t>
  </si>
  <si>
    <t>CDC7</t>
  </si>
  <si>
    <t>Homo sapiens cell division cycle 7 (CDC7)</t>
  </si>
  <si>
    <t>PH_hs_0061676</t>
  </si>
  <si>
    <t>PH_hs_0061685</t>
  </si>
  <si>
    <t>PH_hs_0061698</t>
  </si>
  <si>
    <t>ENSG00000163527</t>
  </si>
  <si>
    <t>PH_hs_0061728</t>
  </si>
  <si>
    <t>ENSG00000115221</t>
  </si>
  <si>
    <t>PH_hs_0061735</t>
  </si>
  <si>
    <t>PH_hs_0061742</t>
  </si>
  <si>
    <t>PH_hs_0061767</t>
  </si>
  <si>
    <t>ENSG00000169251</t>
  </si>
  <si>
    <t>PH_hs_0061789</t>
  </si>
  <si>
    <t>PH_hs_0061802</t>
  </si>
  <si>
    <t>PH_hs_0061820</t>
  </si>
  <si>
    <t>PH_hs_0061825</t>
  </si>
  <si>
    <t>PH_hs_0061832</t>
  </si>
  <si>
    <t>PH_hs_0061834</t>
  </si>
  <si>
    <t>PH_hs_0061874</t>
  </si>
  <si>
    <t>NP_002580.2</t>
  </si>
  <si>
    <t>PH_hs_0061877</t>
  </si>
  <si>
    <t>PH_hs_0061881</t>
  </si>
  <si>
    <t>ENSG00000138138</t>
  </si>
  <si>
    <t>PH_hs_0061913</t>
  </si>
  <si>
    <t>PH_hs_0061933</t>
  </si>
  <si>
    <t>PH_hs_0061949</t>
  </si>
  <si>
    <t>NP_059963.1</t>
  </si>
  <si>
    <t>PH_hs_0061953</t>
  </si>
  <si>
    <t>PH_hs_0061957</t>
  </si>
  <si>
    <t>PET100</t>
  </si>
  <si>
    <t>Homo sapiens PET100 homolog (S. cerevisiae)</t>
  </si>
  <si>
    <t>PH_hs_0061960</t>
  </si>
  <si>
    <t>PH_hs_0061969</t>
  </si>
  <si>
    <t>NP_001171833.1</t>
  </si>
  <si>
    <t>PH_hs_0061986</t>
  </si>
  <si>
    <t>PH_hs_0061987</t>
  </si>
  <si>
    <t>PH_hs_0062000</t>
  </si>
  <si>
    <t>PH_hs_0062003</t>
  </si>
  <si>
    <t>PH_hs_0062020</t>
  </si>
  <si>
    <t>PH_hs_0062023</t>
  </si>
  <si>
    <t>PH_hs_0062033</t>
  </si>
  <si>
    <t>PH_hs_0062034</t>
  </si>
  <si>
    <t>LOC100506388</t>
  </si>
  <si>
    <t>Homo sapiens uncharacterized LOC100506388 (LOC100506388)</t>
  </si>
  <si>
    <t>PH_hs_0062072</t>
  </si>
  <si>
    <t>OR52E8|OR52E6</t>
  </si>
  <si>
    <t>390079|390078</t>
  </si>
  <si>
    <t>NM_001005168|NM_001005167</t>
  </si>
  <si>
    <t>NP_001005168.1|NP_001005167.1</t>
  </si>
  <si>
    <t>ENSG00000183269|ENSG00000205409</t>
  </si>
  <si>
    <t>PH_hs_0062095</t>
  </si>
  <si>
    <t>GOLGA6B|GOLGA6A|GOLGA6D|GOLGA6L10|LOC645752|GOLGA8T</t>
  </si>
  <si>
    <t>55889|342096|653643|647042|645752|653075</t>
  </si>
  <si>
    <t>NM_018652|NM_001038640|NM_001145224|NM_001164465|NR_027024|NR_033933</t>
  </si>
  <si>
    <t>NP_061122.4|NP_001033729.2|NP_001138696.1|NP_001157937.2|-|-</t>
  </si>
  <si>
    <t>ENSG00000215186|ENSG00000159289|ENSG00000140478|ENSG00000274166</t>
  </si>
  <si>
    <t>PH_hs_0062101</t>
  </si>
  <si>
    <t>PH_hs_0062103</t>
  </si>
  <si>
    <t>PH_hs_0062115</t>
  </si>
  <si>
    <t>PH_hs_0062121</t>
  </si>
  <si>
    <t>ST20|BCL2A1</t>
  </si>
  <si>
    <t>Homo sapiens suppressor of tumorigenicity 20 (ST20)|Homo sapiens BCL2-related protein A1 (BCL2A1)</t>
  </si>
  <si>
    <t>400410|597</t>
  </si>
  <si>
    <t>ENSG00000180953|ENSG00000140379</t>
  </si>
  <si>
    <t>PH_hs_0062129</t>
  </si>
  <si>
    <t>PH_hs_0062134</t>
  </si>
  <si>
    <t>SPATA31D4|SPATA31D5P|SPATA31D3|SPATA31D1</t>
  </si>
  <si>
    <t>389761|347127|389762|389763</t>
  </si>
  <si>
    <t>NM_001145197|NR_026851|NM_207416|NM_001001670</t>
  </si>
  <si>
    <t>NP_001138669.1|-|NP_997299.2|NP_001001670.1</t>
  </si>
  <si>
    <t>ENSG00000189357|ENSG00000240632|ENSG00000186788|ENSG00000214929</t>
  </si>
  <si>
    <t>PH_hs_0062135</t>
  </si>
  <si>
    <t>GOLGA6D|GOLGA8T|GOLGA6L10|GOLGA8F</t>
  </si>
  <si>
    <t>653643|653075|647042|100132565</t>
  </si>
  <si>
    <t>NM_001145224|NR_033933|NM_001164465|NR_033351</t>
  </si>
  <si>
    <t>NP_001138696.1|-|NP_001157937.2|-</t>
  </si>
  <si>
    <t>ENSG00000140478|ENSG00000274166</t>
  </si>
  <si>
    <t>TRIM64B|TRIM64|TRIM64C</t>
  </si>
  <si>
    <t>Homo sapiens tripartite motif containing 64B (TRIM64B)|Homo sapiens tripartite motif containing 64 (TRIM64)|Homo sapiens tripartite motif containing 64C (TRIM64C)</t>
  </si>
  <si>
    <t>642446|120146|646754</t>
  </si>
  <si>
    <t>NM_001164397|NM_001136486|NM_001206631</t>
  </si>
  <si>
    <t>NP_001157869.1|NP_001129958.1|NP_001193560.1</t>
  </si>
  <si>
    <t>ENSG00000189253|ENSG00000204450|ENSG00000214891</t>
  </si>
  <si>
    <t>PH_hs_0062149</t>
  </si>
  <si>
    <t>PH_hs_0062154</t>
  </si>
  <si>
    <t>POU5F1B|POU5F1</t>
  </si>
  <si>
    <t>Homo sapiens POU class 5 homeobox 1B (POU5F1B)|Homo sapiens POU class 5 homeobox 1 (POU5F1)</t>
  </si>
  <si>
    <t>5462|5460</t>
  </si>
  <si>
    <t>ENSG00000212993|ENSG00000237582</t>
  </si>
  <si>
    <t>PH_hs_0062162</t>
  </si>
  <si>
    <t>PH_hs_0062165</t>
  </si>
  <si>
    <t>RPP21|TRIM39-RPP21</t>
  </si>
  <si>
    <t>Homo sapiens ribonuclease P/MRP 21kDa subunit (RPP21)|Homo sapiens TRIM39-RPP21 readthrough (TRIM39-RPP21)</t>
  </si>
  <si>
    <t>79897|202658</t>
  </si>
  <si>
    <t>ENSG00000243009|ENSG00000229929</t>
  </si>
  <si>
    <t>PH_hs_0062166</t>
  </si>
  <si>
    <t>PH_hs_0062177</t>
  </si>
  <si>
    <t>PH_hs_0062178</t>
  </si>
  <si>
    <t>PH_hs_0062183</t>
  </si>
  <si>
    <t>PH_hs_0062184</t>
  </si>
  <si>
    <t>TMEM191C|TMEM191B|TMEM191A</t>
  </si>
  <si>
    <t>Homo sapiens transmembrane protein 191C (TMEM191C)|Homo sapiens transmembrane protein 191B (TMEM191B)|Homo sapiens transmembrane protein 191A (pseudogene)</t>
  </si>
  <si>
    <t>645426|728229|84222</t>
  </si>
  <si>
    <t>NM_001207052|NM_001242313|NR_026815</t>
  </si>
  <si>
    <t>NP_001193981.1|NP_001229242.1|-</t>
  </si>
  <si>
    <t>ENSG00000278558|ENSG00000278558|ENSG00000226287</t>
  </si>
  <si>
    <t>ENSP00000477586|ENSP00000477586|</t>
  </si>
  <si>
    <t>PH_hs_0062189</t>
  </si>
  <si>
    <t>LOC100129216|DEFB131</t>
  </si>
  <si>
    <t>100129216|644414</t>
  </si>
  <si>
    <t>NM_001242853|NM_001040448</t>
  </si>
  <si>
    <t>NP_001229782.1|NP_001035538.2</t>
  </si>
  <si>
    <t>ENSG00000225805|ENSG00000186146</t>
  </si>
  <si>
    <t>ENST00000530210|ENST00000334879</t>
  </si>
  <si>
    <t>ENSP00000485141|ENSP00000335538</t>
  </si>
  <si>
    <t>PH_hs_0062199</t>
  </si>
  <si>
    <t>AKR1C1</t>
  </si>
  <si>
    <t>NP_001344.2</t>
  </si>
  <si>
    <t>PH_hs_0062200</t>
  </si>
  <si>
    <t>PH_hs_0062201</t>
  </si>
  <si>
    <t>PH_hs_0062211</t>
  </si>
  <si>
    <t>HIST1H2BL|HIST1H2BF</t>
  </si>
  <si>
    <t>8340|8343</t>
  </si>
  <si>
    <t>NM_003519|NM_003522</t>
  </si>
  <si>
    <t>NP_003510.1|NP_003513.1</t>
  </si>
  <si>
    <t>ENSG00000185130|ENSG00000277224</t>
  </si>
  <si>
    <t>ENST00000377401|ENST00000356530</t>
  </si>
  <si>
    <t>ENSP00000366618|ENSP00000348924</t>
  </si>
  <si>
    <t>PH_hs_0062217</t>
  </si>
  <si>
    <t>ZRSR2|SRP19</t>
  </si>
  <si>
    <t>Homo sapiens zinc finger (CCCH type)|Homo sapiens signal recognition particle 19kDa (SRP19)</t>
  </si>
  <si>
    <t>8233|6728</t>
  </si>
  <si>
    <t>NM_005089|NM_001204199</t>
  </si>
  <si>
    <t>NP_005080.1|NP_001191128.1</t>
  </si>
  <si>
    <t>ENSG00000169249|ENSG00000153037</t>
  </si>
  <si>
    <t>PH_hs_0062220</t>
  </si>
  <si>
    <t>PH_hs_0062234</t>
  </si>
  <si>
    <t>VCX|VCX3A|VCX3B|VCX2</t>
  </si>
  <si>
    <t>26609|51481|425054|51480</t>
  </si>
  <si>
    <t>NM_013452|NM_016379|NM_001001888|NM_016378</t>
  </si>
  <si>
    <t>NP_038480.2|NP_057463.2|NP_001001888.3|NP_057462.2</t>
  </si>
  <si>
    <t>ENSG00000182583|ENSG00000169059|ENSG00000205642|ENSG00000177504</t>
  </si>
  <si>
    <t>PH_hs_0062237</t>
  </si>
  <si>
    <t>PH_hs_0062241</t>
  </si>
  <si>
    <t>HIST1H4J|HIST1H4K</t>
  </si>
  <si>
    <t>8363|8362</t>
  </si>
  <si>
    <t>NM_021968|NM_003541</t>
  </si>
  <si>
    <t>NP_068803.1|NP_003532.1</t>
  </si>
  <si>
    <t>ENSG00000197238|ENSG00000273542</t>
  </si>
  <si>
    <t>ENST00000355057|ENST00000611927</t>
  </si>
  <si>
    <t>ENSP00000347168|ENSP00000479794</t>
  </si>
  <si>
    <t>PH_hs_0062243</t>
  </si>
  <si>
    <t>SPANXC|SPANXA2|SPANXA1|SPANXB1|SPANXD</t>
  </si>
  <si>
    <t>64663|728712|30014|728695|64648</t>
  </si>
  <si>
    <t>NM_022661|NM_145662|NM_013453|NM_032461|NM_032417</t>
  </si>
  <si>
    <t>NP_073152.2|NP_663695.1|NP_038481.2|NP_115850.2|NP_115793.1</t>
  </si>
  <si>
    <t>ENSG00000198573|ENSG00000203926|ENSG00000198021|ENSG00000227234|ENSG00000196406</t>
  </si>
  <si>
    <t>PH_hs_0062252</t>
  </si>
  <si>
    <t>SPANXD|SPANXB1|SPANXC|SPANXA2|SPANXA1</t>
  </si>
  <si>
    <t>64648|728695|64663|728712|30014</t>
  </si>
  <si>
    <t>NM_032417|NM_032461|NM_022661|NM_145662|NM_013453</t>
  </si>
  <si>
    <t>NP_115793.1|NP_115850.2|NP_073152.2|NP_663695.1|NP_038481.2</t>
  </si>
  <si>
    <t>ENSG00000196406|ENSG00000227234|ENSG00000198573|ENSG00000203926|ENSG00000198021</t>
  </si>
  <si>
    <t>PH_hs_0062253</t>
  </si>
  <si>
    <t>SPANXB1|SPANXC|SPANXD|SPANXA2|SPANXA1</t>
  </si>
  <si>
    <t>728695|64663|64648|728712|30014</t>
  </si>
  <si>
    <t>NM_032461|NM_022661|NM_032417|NM_145662|NM_013453</t>
  </si>
  <si>
    <t>NP_115850.2|NP_073152.2|NP_115793.1|NP_663695.1|NP_038481.2</t>
  </si>
  <si>
    <t>ENSG00000227234|ENSG00000198573|ENSG00000196406|ENSG00000203926|ENSG00000198021</t>
  </si>
  <si>
    <t>PH_hs_0062266</t>
  </si>
  <si>
    <t>NPIPB3|NPIPB5|LOC613037</t>
  </si>
  <si>
    <t>23117|100132247|613037</t>
  </si>
  <si>
    <t>NM_130464|NM_001135865|NR_002555</t>
  </si>
  <si>
    <t>NP_569731.2|NP_001129337.1|-</t>
  </si>
  <si>
    <t>ENSG00000185864|ENSG00000243716</t>
  </si>
  <si>
    <t>ENST00000537951|ENST00000621622</t>
  </si>
  <si>
    <t>ENSP00000439166|ENSP00000481340</t>
  </si>
  <si>
    <t>PH_hs_0062273</t>
  </si>
  <si>
    <t>CT45A2|CT45A1|CT45A5|CT45A7|CT45A6|CT45A3|CT45A4</t>
  </si>
  <si>
    <t>728911|541466|441521|101060211|541465|441519|441520</t>
  </si>
  <si>
    <t>ENSG00000270946|ENSG00000268940|ENSG00000273696|ENSG00000273696|ENSG00000273696|ENSG00000269096|ENSG00000270946</t>
  </si>
  <si>
    <t>PH_hs_0062274</t>
  </si>
  <si>
    <t>BAGE2|BAGE4|BAGE3|BAGE5</t>
  </si>
  <si>
    <t>85319|85317|85318|85316</t>
  </si>
  <si>
    <t>NM_182482|NM_181704|NM_182481|NM_182484</t>
  </si>
  <si>
    <t>NP_872288.2|NP_859055.1|NP_872287.1|NP_872290.1</t>
  </si>
  <si>
    <t>PH_hs_0062275</t>
  </si>
  <si>
    <t>CATSPER2P1</t>
  </si>
  <si>
    <t>PH_hs_0062276</t>
  </si>
  <si>
    <t>PH_hs_0062293</t>
  </si>
  <si>
    <t>PH_hs_0062297</t>
  </si>
  <si>
    <t>PH_hs_0062303</t>
  </si>
  <si>
    <t>PH_hs_0062305</t>
  </si>
  <si>
    <t>NPIPA1|PKD1P1|NPIPB9|PDXDC2P</t>
  </si>
  <si>
    <t>9284|339044|100507607|283970</t>
  </si>
  <si>
    <t>NM_006985|NR_036447|XM_003118719|NR_003610</t>
  </si>
  <si>
    <t>NP_008916.2|-|XP_003118767.2|-</t>
  </si>
  <si>
    <t>ENSG00000281994|ENSG00000255524|ENSG00000196696</t>
  </si>
  <si>
    <t>|ENSP00000434100|</t>
  </si>
  <si>
    <t>PH_hs_0062324</t>
  </si>
  <si>
    <t>NP_001244202.1</t>
  </si>
  <si>
    <t>PH_hs_0062419</t>
  </si>
  <si>
    <t>ENSG00000188529</t>
  </si>
  <si>
    <t>PH_hs_0062438</t>
  </si>
  <si>
    <t>KCNQ5-IT1</t>
  </si>
  <si>
    <t>Homo sapiens KCNQ5 intronic transcript 1 (KCNQ5-IT1)</t>
  </si>
  <si>
    <t>ENST00000445310</t>
  </si>
  <si>
    <t>PH_hs_0062443</t>
  </si>
  <si>
    <t>MAFIP|TEKT4P2|LOC100233156|TEKT4</t>
  </si>
  <si>
    <t>Homo sapiens MAFF interacting protein (pseudogene)|Homo sapiens tektin 4 pseudogene 2 (TEKT4P2)|Homo sapiens tektin 4 pseudogene (LOC100233156)|Homo sapiens tektin 4 (TEKT4)</t>
  </si>
  <si>
    <t>727764|100132288|100233156|150483</t>
  </si>
  <si>
    <t>ENSG00000188681|ENSG00000188681|ENSG00000163060</t>
  </si>
  <si>
    <t>||ENSP00000295201</t>
  </si>
  <si>
    <t>PH_hs_0062444</t>
  </si>
  <si>
    <t>LOC730257|LOC642441|LOC100996740|LOC100996720</t>
  </si>
  <si>
    <t>PREDICTED: Homo sapiens uncharacterized LOC730257 (LOC730257)|PREDICTED: Homo sapiens uncharacterized LOC642441 (LOC642441)|PREDICTED: Homo sapiens uncharacterized LOC100996740 (LOC100996740)|PREDICTED: Homo sapiens uncharacterized LOC100996720 (LOC100996720)</t>
  </si>
  <si>
    <t>730257|642441|100996740|100996720</t>
  </si>
  <si>
    <t>ENST00000626088</t>
  </si>
  <si>
    <t>ENSP00000486219</t>
  </si>
  <si>
    <t>PH_hs_0062451</t>
  </si>
  <si>
    <t>PH_hs_0062453</t>
  </si>
  <si>
    <t>PH_hs_0062497</t>
  </si>
  <si>
    <t>PH_hs_0062530</t>
  </si>
  <si>
    <t>ALOX15P1</t>
  </si>
  <si>
    <t>Homo sapiens arachidonate 15-lipoxygenase pseudogene 1 (ALOX15P1)</t>
  </si>
  <si>
    <t>PH_hs_0062532</t>
  </si>
  <si>
    <t>FAM231B|FAM231C</t>
  </si>
  <si>
    <t>100133301|729587</t>
  </si>
  <si>
    <t>ENSG00000268991|ENSG00000279132</t>
  </si>
  <si>
    <t>ENST00000600179|ENST00000624031</t>
  </si>
  <si>
    <t>ENSP00000470910|ENSP00000485366</t>
  </si>
  <si>
    <t>PH_hs_0062534</t>
  </si>
  <si>
    <t>LINC01023</t>
  </si>
  <si>
    <t>Homo sapiens long intergenic non-protein coding RNA 1023 (LINC01023)</t>
  </si>
  <si>
    <t>ENST00000606054</t>
  </si>
  <si>
    <t>PH_hs_0062547</t>
  </si>
  <si>
    <t>PH_hs_0062559</t>
  </si>
  <si>
    <t>COX4I1</t>
  </si>
  <si>
    <t>Homo sapiens cytochrome c oxidase subunit IV isoform 1 (COX4I1)</t>
  </si>
  <si>
    <t>NP_001852.1</t>
  </si>
  <si>
    <t>PH_hs_0062562</t>
  </si>
  <si>
    <t>ZNF600</t>
  </si>
  <si>
    <t>Homo sapiens zinc finger protein 600 (ZNF600)</t>
  </si>
  <si>
    <t>NP_940859.2</t>
  </si>
  <si>
    <t>PH_hs_0062571</t>
  </si>
  <si>
    <t>FAM32A</t>
  </si>
  <si>
    <t>NP_054796.1</t>
  </si>
  <si>
    <t>PH_hs_0062589</t>
  </si>
  <si>
    <t>CHCHD2</t>
  </si>
  <si>
    <t>Homo sapiens coiled-coil-helix-coiled-coil-helix domain containing 2 (CHCHD2)</t>
  </si>
  <si>
    <t>NP_057223.1</t>
  </si>
  <si>
    <t>ENSP00000378812</t>
  </si>
  <si>
    <t>PH_hs_0062593</t>
  </si>
  <si>
    <t>FTHL17</t>
  </si>
  <si>
    <t>NP_114100.1</t>
  </si>
  <si>
    <t>ENST00000359202</t>
  </si>
  <si>
    <t>ENSP00000368207</t>
  </si>
  <si>
    <t>PH_hs_0062603</t>
  </si>
  <si>
    <t>UQCRFS1</t>
  </si>
  <si>
    <t>NP_005994.2</t>
  </si>
  <si>
    <t>ENST00000304863</t>
  </si>
  <si>
    <t>ENSP00000306397</t>
  </si>
  <si>
    <t>PH_hs_0062608</t>
  </si>
  <si>
    <t>CDKN2AIPNL</t>
  </si>
  <si>
    <t>Homo sapiens CDKN2A interacting protein N-terminal like (CDKN2AIPNL)</t>
  </si>
  <si>
    <t>NP_542387.1</t>
  </si>
  <si>
    <t>LOC100130370</t>
  </si>
  <si>
    <t>PH_hs_0062626</t>
  </si>
  <si>
    <t>MTRNR2L9</t>
  </si>
  <si>
    <t>Homo sapiens MT-RNR2-like 9 (MTRNR2L9)</t>
  </si>
  <si>
    <t>NP_001177635.1</t>
  </si>
  <si>
    <t>PH_hs_0062635</t>
  </si>
  <si>
    <t>MED14OS</t>
  </si>
  <si>
    <t>Homo sapiens MED14 opposite strand (MED14OS)</t>
  </si>
  <si>
    <t>NP_001276702.1</t>
  </si>
  <si>
    <t>PH_hs_0062639</t>
  </si>
  <si>
    <t>PANO1</t>
  </si>
  <si>
    <t>Homo sapiens proapoptotic nucleolar protein 1 (PANO1)</t>
  </si>
  <si>
    <t>NP_001280096.1</t>
  </si>
  <si>
    <t>ENST00000620120</t>
  </si>
  <si>
    <t>ENSP00000479258</t>
  </si>
  <si>
    <t>PH_hs_0062640</t>
  </si>
  <si>
    <t>LOC101927572</t>
  </si>
  <si>
    <t>Homo sapiens uncharacterized LOC101927572 (LOC101927572)</t>
  </si>
  <si>
    <t>NP_001276985.1</t>
  </si>
  <si>
    <t>PH_hs_0062647</t>
  </si>
  <si>
    <t>LOC101929372</t>
  </si>
  <si>
    <t>Homo sapiens uncharacterized LOC101929372 (LOC101929372)</t>
  </si>
  <si>
    <t>NP_001275636.1</t>
  </si>
  <si>
    <t>PH_hs_0062650</t>
  </si>
  <si>
    <t>OR2AP1</t>
  </si>
  <si>
    <t>NP_001245214.1</t>
  </si>
  <si>
    <t>ENST00000321688</t>
  </si>
  <si>
    <t>ENSP00000323423</t>
  </si>
  <si>
    <t>PH_hs_0062656</t>
  </si>
  <si>
    <t>LOC158434</t>
  </si>
  <si>
    <t>Homo sapiens uncharacterized LOC158434 (LOC158434)</t>
  </si>
  <si>
    <t>NP_001243337.1</t>
  </si>
  <si>
    <t>ENSP00000484597</t>
  </si>
  <si>
    <t>PH_hs_0062691</t>
  </si>
  <si>
    <t>LOC653602</t>
  </si>
  <si>
    <t>Homo sapiens uncharacterized LOC653602 (LOC653602)</t>
  </si>
  <si>
    <t>NP_001278339.1</t>
  </si>
  <si>
    <t>PH_hs_0062697</t>
  </si>
  <si>
    <t>LOC728485</t>
  </si>
  <si>
    <t>Homo sapiens uncharacterized LOC728485 (LOC728485)</t>
  </si>
  <si>
    <t>NP_001281235.1</t>
  </si>
  <si>
    <t>PH_hs_0062698</t>
  </si>
  <si>
    <t>LOC729159</t>
  </si>
  <si>
    <t>Homo sapiens UPF0607 protein ENSP00000381418-like (LOC729159)</t>
  </si>
  <si>
    <t>NP_001269230.1</t>
  </si>
  <si>
    <t>PH_hs_0062708</t>
  </si>
  <si>
    <t>PABPN1|BCL2L2-PABPN1</t>
  </si>
  <si>
    <t>Homo sapiens poly(A)|Homo sapiens BCL2L2-PABPN1 readthrough (BCL2L2-PABPN1)</t>
  </si>
  <si>
    <t>8106|100529063</t>
  </si>
  <si>
    <t>NM_004643|NM_001199864</t>
  </si>
  <si>
    <t>NP_004634.1|NP_001186793.1</t>
  </si>
  <si>
    <t>ENSG00000100836|ENSG00000258643</t>
  </si>
  <si>
    <t>PH_hs_0062718</t>
  </si>
  <si>
    <t>HIST2H2AA3|HIST2H2AA4</t>
  </si>
  <si>
    <t>8337|723790</t>
  </si>
  <si>
    <t>NM_003516|NM_001040874</t>
  </si>
  <si>
    <t>NP_003507.1|NP_001035807.1</t>
  </si>
  <si>
    <t>ENSG00000203812|ENSG00000272196</t>
  </si>
  <si>
    <t>ENST00000369159|ENST00000607355</t>
  </si>
  <si>
    <t>ENSP00000358155|ENSP00000475814</t>
  </si>
  <si>
    <t>PH_hs_0062719</t>
  </si>
  <si>
    <t>PH_hs_0062732</t>
  </si>
  <si>
    <t>CRNDE</t>
  </si>
  <si>
    <t>Homo sapiens colorectal neoplasia differentially expressed (non-protein coding)</t>
  </si>
  <si>
    <t>PH_hs_0062737</t>
  </si>
  <si>
    <t>LRRC37A|LRRC37A2|ARL17A</t>
  </si>
  <si>
    <t>9884|474170|51326</t>
  </si>
  <si>
    <t>NM_014834|NM_001006607|NM_001113738</t>
  </si>
  <si>
    <t>NP_055649.4|NP_001006608.2|NP_001107210.1</t>
  </si>
  <si>
    <t>ENSG00000176681|ENSG00000275621|ENSG00000228696</t>
  </si>
  <si>
    <t>PH_hs_0062739</t>
  </si>
  <si>
    <t>PH_hs_0062756</t>
  </si>
  <si>
    <t>RAB34|NARR</t>
  </si>
  <si>
    <t>83871|100861437</t>
  </si>
  <si>
    <t>PH_hs_0062766</t>
  </si>
  <si>
    <t>RWDD4</t>
  </si>
  <si>
    <t>Homo sapiens RWD domain containing 4 (RWDD4)</t>
  </si>
  <si>
    <t>PH_hs_0062772</t>
  </si>
  <si>
    <t>MT1F</t>
  </si>
  <si>
    <t>Homo sapiens metallothionein 1F (MT1F)</t>
  </si>
  <si>
    <t>PH_hs_0062774</t>
  </si>
  <si>
    <t>TWF1</t>
  </si>
  <si>
    <t>Homo sapiens twinfilin actin binding protein 1 (TWF1)</t>
  </si>
  <si>
    <t>PH_hs_0062776</t>
  </si>
  <si>
    <t>ST13</t>
  </si>
  <si>
    <t>Homo sapiens suppression of tumorigenicity 13 (colon carcinoma)</t>
  </si>
  <si>
    <t>PH_hs_0062780</t>
  </si>
  <si>
    <t>RPF2</t>
  </si>
  <si>
    <t>Homo sapiens ribosome production factor 2 homolog (S. cerevisiae)</t>
  </si>
  <si>
    <t>PH_hs_0062789</t>
  </si>
  <si>
    <t>NIPSNAP1</t>
  </si>
  <si>
    <t>Homo sapiens nipsnap homolog 1 (C. elegans)</t>
  </si>
  <si>
    <t>PH_hs_0062793</t>
  </si>
  <si>
    <t>MT1G</t>
  </si>
  <si>
    <t>Homo sapiens metallothionein 1G (MT1G)</t>
  </si>
  <si>
    <t>PH_hs_0062794</t>
  </si>
  <si>
    <t>VKORC1</t>
  </si>
  <si>
    <t>PH_hs_0062795</t>
  </si>
  <si>
    <t>SEC13</t>
  </si>
  <si>
    <t>Homo sapiens SEC13 homolog (S. cerevisiae)</t>
  </si>
  <si>
    <t>PH_hs_0062796</t>
  </si>
  <si>
    <t>USP6|USP32|USP32P1</t>
  </si>
  <si>
    <t>Homo sapiens ubiquitin specific peptidase 6 (USP6)|Homo sapiens ubiquitin specific peptidase 32 (USP32)|Homo sapiens ubiquitin specific peptidase 32 pseudogene 1 (USP32P1)</t>
  </si>
  <si>
    <t>9098|84669|162632</t>
  </si>
  <si>
    <t>ENSG00000129204|ENSG00000170832</t>
  </si>
  <si>
    <t>PH_hs_0062799</t>
  </si>
  <si>
    <t>PREDICTED: Homo sapiens cytochrome c oxidase subunit IV isoform 1 (COX4I1)</t>
  </si>
  <si>
    <t>PH_hs_0062802</t>
  </si>
  <si>
    <t>PREDICTED: Homo sapiens SEC13 homolog (S. cerevisiae)</t>
  </si>
  <si>
    <t>PH_hs_0062805</t>
  </si>
  <si>
    <t>PH_hs_0062820</t>
  </si>
  <si>
    <t>PREDICTED: Homo sapiens uncharacterized LOC100130370 (LOC100130370)</t>
  </si>
  <si>
    <t>XP_011522442.1</t>
  </si>
  <si>
    <t>PH_hs_0062834</t>
  </si>
  <si>
    <t>LOC101927420</t>
  </si>
  <si>
    <t>PREDICTED: Homo sapiens uncharacterized LOC101927420 (LOC101927420)</t>
  </si>
  <si>
    <t>PH_hs_0062836</t>
  </si>
  <si>
    <t>LOC101927989</t>
  </si>
  <si>
    <t>PREDICTED: Homo sapiens uncharacterized LOC101927989 (LOC101927989)</t>
  </si>
  <si>
    <t>PH_hs_0062847</t>
  </si>
  <si>
    <t>LOC101929087</t>
  </si>
  <si>
    <t>PREDICTED: Homo sapiens small ubiquitin-related modifier 2-like (LOC101929087)</t>
  </si>
  <si>
    <t>PH_hs_0062859</t>
  </si>
  <si>
    <t>PREDICTED: Homo sapiens nipsnap homolog 1 (C. elegans)</t>
  </si>
  <si>
    <t>PH_hs_0062871</t>
  </si>
  <si>
    <t>ENSG00000278735|ENSG00000230796|ENSG00000154537|ENSG00000280075|ENSG00000278763</t>
  </si>
  <si>
    <t>ENST00000377542|ENST00000613335|ENST00000421221|ENST00000623929|ENST00000610601</t>
  </si>
  <si>
    <t>PH_hs_0062928</t>
  </si>
  <si>
    <t>ENSG00000278919|ENSG00000274165|ENSG00000276565</t>
  </si>
  <si>
    <t>ENST00000614594|ENST00000624434|ENST00000617253</t>
  </si>
  <si>
    <t>ENSP00000485085|ENSP00000483175|ENSP00000484037</t>
  </si>
  <si>
    <t>PH_hs_0062931</t>
  </si>
  <si>
    <t>PH_hs_0062932</t>
  </si>
  <si>
    <t>ENSG00000228549|ENSG00000233421|ENSG00000277475</t>
  </si>
  <si>
    <t>ENST00000614408|ENST00000619677|ENST00000612315|ENST00000438002</t>
  </si>
  <si>
    <t>|ENSP00000478882</t>
  </si>
  <si>
    <t>PH_hs_0062935</t>
  </si>
  <si>
    <t>PH_hs_0062936</t>
  </si>
  <si>
    <t>ENSG00000280108|ENSG00000178457|ENSG00000278923</t>
  </si>
  <si>
    <t>ENST00000623604|ENST00000624445|ENST00000324988</t>
  </si>
  <si>
    <t>ENSP00000485358||ENSP00000485142</t>
  </si>
  <si>
    <t>PH_hs_0062938</t>
  </si>
  <si>
    <t>PH_hs_0062978</t>
  </si>
  <si>
    <t>ENSG00000232216|ENSG00000277856</t>
  </si>
  <si>
    <t>ENST00000434710|ENST00000619729</t>
  </si>
  <si>
    <t>ENSP00000481152|ENSP00000399826</t>
  </si>
  <si>
    <t>PH_hs_0062989</t>
  </si>
  <si>
    <t>ENSG00000255054|ENSG00000117640</t>
  </si>
  <si>
    <t>ENST00000527604|ENST00000374300|ENST00000374307|ENST00000530599|ENST00000464008|ENST00000525713|ENST00000374303|ENST00000424294|ENST00000531361|ENST00000529116|ENST00000526894|ENST00000374301|ENST00000474295|ENST00000478284|ENST00000466284|ENST00000533762|ENST00000526158|ENST00000528624|ENST00000524618</t>
  </si>
  <si>
    <t>PH_hs_0063031</t>
  </si>
  <si>
    <t>ENSG00000267561|ENSG00000267272</t>
  </si>
  <si>
    <t>ENST00000490006|ENST00000370548</t>
  </si>
  <si>
    <t>|ENSP00000359579</t>
  </si>
  <si>
    <t>PH_hs_0063036</t>
  </si>
  <si>
    <t>ENSG00000186230|ENSG00000268533</t>
  </si>
  <si>
    <t>ENST00000597410|ENST00000600697|ENST00000597296</t>
  </si>
  <si>
    <t>PH_hs_0063044</t>
  </si>
  <si>
    <t>ENSG00000269476|ENSG00000204514</t>
  </si>
  <si>
    <t>ENST00000602124|ENST00000597807</t>
  </si>
  <si>
    <t>PH_hs_0063049</t>
  </si>
  <si>
    <t>ENSG00000271793|ENSG00000135316</t>
  </si>
  <si>
    <t>ENST00000616122|ENST00000355238|ENST00000503906</t>
  </si>
  <si>
    <t>PH_hs_0063052</t>
  </si>
  <si>
    <t>ENSG00000244219|ENSG00000272647</t>
  </si>
  <si>
    <t>ENST00000453227|ENST00000431679|ENST00000455905</t>
  </si>
  <si>
    <t>ENSP00000401282|</t>
  </si>
  <si>
    <t>PH_hs_0063085</t>
  </si>
  <si>
    <t>ENST00000602312</t>
  </si>
  <si>
    <t>ENSP00000473474</t>
  </si>
  <si>
    <t>PH_hs_0063089</t>
  </si>
  <si>
    <t>ENST00000374375</t>
  </si>
  <si>
    <t>ENSP00000363495</t>
  </si>
  <si>
    <t>PH_hs_0063115</t>
  </si>
  <si>
    <t>ENST00000390437</t>
  </si>
  <si>
    <t>ENSP00000437362</t>
  </si>
  <si>
    <t>PH_hs_0063151</t>
  </si>
  <si>
    <t>ENST00000390628</t>
  </si>
  <si>
    <t>ENSP00000375037</t>
  </si>
  <si>
    <t>PH_hs_0063186</t>
  </si>
  <si>
    <t>ENST00000585937</t>
  </si>
  <si>
    <t>ENSP00000468614</t>
  </si>
  <si>
    <t>PH_hs_0063200</t>
  </si>
  <si>
    <t>ENST00000475285|ENST00000479633</t>
  </si>
  <si>
    <t>|ENSP00000473567</t>
  </si>
  <si>
    <t>PH_hs_0063215</t>
  </si>
  <si>
    <t>ENST00000545441</t>
  </si>
  <si>
    <t>PH_hs_0063254</t>
  </si>
  <si>
    <t>ENST00000624550</t>
  </si>
  <si>
    <t>ENSP00000485283</t>
  </si>
  <si>
    <t>PH_hs_0063267</t>
  </si>
  <si>
    <t>ENST00000624063</t>
  </si>
  <si>
    <t>ENSP00000485197</t>
  </si>
  <si>
    <t>PH_hs_0063271</t>
  </si>
  <si>
    <t>ENST00000623863</t>
  </si>
  <si>
    <t>ENSP00000485186</t>
  </si>
  <si>
    <t>PH_hs_0063285</t>
  </si>
  <si>
    <t>ENST00000627417</t>
  </si>
  <si>
    <t>ENSP00000486279</t>
  </si>
  <si>
    <t>PH_hs_0063305</t>
  </si>
  <si>
    <t>ENST00000593484|ENST00000596918</t>
  </si>
  <si>
    <t>ENSP00000471765|ENSP00000469669</t>
  </si>
  <si>
    <t>PH_hs_0063307</t>
  </si>
  <si>
    <t>ENST00000602021|ENST00000594769</t>
  </si>
  <si>
    <t>ENSP00000470059|ENSP00000471066</t>
  </si>
  <si>
    <t>PH_hs_0063328</t>
  </si>
  <si>
    <t>ENST00000547760|ENST00000547378|ENST00000549185</t>
  </si>
  <si>
    <t>ENSP00000446654|ENSP00000449799|ENSP00000447056</t>
  </si>
  <si>
    <t>PH_hs_0063336</t>
  </si>
  <si>
    <t>ENSG00000276849|ENSG00000211772</t>
  </si>
  <si>
    <t>ENST00000610566|ENST00000613761|ENST00000466254|ENST00000612153|ENST00000616837|ENST00000621068|ENST00000614992|ENST00000620987|ENST00000613720|ENST00000610847</t>
  </si>
  <si>
    <t>ENSP00000482267|ENSP00000483887|ENSP00000482687|ENSP00000481186|ENSP00000481359|ENSP00000478854|ENSP00000481689|ENSP00000417300|ENSP00000479209|ENSP00000478607</t>
  </si>
  <si>
    <t>PH_hs_0063362</t>
  </si>
  <si>
    <t>ENSG00000124593|ENSG00000278224</t>
  </si>
  <si>
    <t>ENST00000456057|ENST00000487182|ENST00000458694|ENST00000394263|ENST00000394260|ENST00000359201|ENST00000483200|ENST00000335515|ENST00000394259</t>
  </si>
  <si>
    <t>PH_hs_0063363</t>
  </si>
  <si>
    <t>ENSG00000123297|ENSG00000257921</t>
  </si>
  <si>
    <t>ENST00000550559|ENST00000323833|ENST00000546504|ENST00000471530|ENST00000434359|ENST00000553083|ENST00000454289|ENST00000548851|ENST00000457189|ENST00000417094|ENST00000497617|ENST00000540550|ENST00000543727</t>
  </si>
  <si>
    <t>PH_hs_0063377</t>
  </si>
  <si>
    <t>PH_hs_0063382</t>
  </si>
  <si>
    <t>WNT11</t>
  </si>
  <si>
    <t>NP_004617.2</t>
  </si>
  <si>
    <t>PH_hs_0063383</t>
  </si>
  <si>
    <t>DYRK1B</t>
  </si>
  <si>
    <t>PH_hs_0063389</t>
  </si>
  <si>
    <t>POP7</t>
  </si>
  <si>
    <t>NP_005828.2</t>
  </si>
  <si>
    <t>PH_hs_0063396</t>
  </si>
  <si>
    <t>PH_hs_0063401</t>
  </si>
  <si>
    <t>FLYWCH2</t>
  </si>
  <si>
    <t>Homo sapiens FLYWCH family member 2 (FLYWCH2)</t>
  </si>
  <si>
    <t>PH_hs_0063411</t>
  </si>
  <si>
    <t>SLC4A3</t>
  </si>
  <si>
    <t>PH_hs_0063415</t>
  </si>
  <si>
    <t>PH_hs_0063420</t>
  </si>
  <si>
    <t>ASUN</t>
  </si>
  <si>
    <t>Homo sapiens asunder spermatogenesis regulator (ASUN)</t>
  </si>
  <si>
    <t>NP_060634.2</t>
  </si>
  <si>
    <t>PH_hs_0063428</t>
  </si>
  <si>
    <t>PH_hs_0063430</t>
  </si>
  <si>
    <t>COLEC12</t>
  </si>
  <si>
    <t>Homo sapiens collectin sub-family member 12 (COLEC12)</t>
  </si>
  <si>
    <t>NP_569057.1</t>
  </si>
  <si>
    <t>ENSP00000383115</t>
  </si>
  <si>
    <t>PH_hs_0063445</t>
  </si>
  <si>
    <t>PH_hs_0063450</t>
  </si>
  <si>
    <t>GLRA1</t>
  </si>
  <si>
    <t>PH_hs_0063456</t>
  </si>
  <si>
    <t>ACRC</t>
  </si>
  <si>
    <t>Homo sapiens acidic repeat containing (ACRC)</t>
  </si>
  <si>
    <t>NP_443189.1</t>
  </si>
  <si>
    <t>PH_hs_0063462</t>
  </si>
  <si>
    <t>PH_hs_0063463</t>
  </si>
  <si>
    <t>GEMIN6</t>
  </si>
  <si>
    <t>NP_079051.9</t>
  </si>
  <si>
    <t>PH_hs_0063464</t>
  </si>
  <si>
    <t>GMFB</t>
  </si>
  <si>
    <t>NP_004115.1</t>
  </si>
  <si>
    <t>PH_hs_0063470</t>
  </si>
  <si>
    <t>RNF149</t>
  </si>
  <si>
    <t>Homo sapiens ring finger protein 149 (RNF149)</t>
  </si>
  <si>
    <t>NP_775918.2</t>
  </si>
  <si>
    <t>PH_hs_0063474</t>
  </si>
  <si>
    <t>MNX1-AS1</t>
  </si>
  <si>
    <t>Homo sapiens MNX1 antisense RNA 1 (head to head)</t>
  </si>
  <si>
    <t>ENST00000480284</t>
  </si>
  <si>
    <t>PH_hs_0063495</t>
  </si>
  <si>
    <t>LZTS1-AS1</t>
  </si>
  <si>
    <t>Homo sapiens LZTS1 antisense RNA 1 (LZTS1-AS1)</t>
  </si>
  <si>
    <t>ENST00000523103</t>
  </si>
  <si>
    <t>PH_hs_0063510</t>
  </si>
  <si>
    <t>PH_hs_0063515</t>
  </si>
  <si>
    <t>PH_hs_0063516</t>
  </si>
  <si>
    <t>PH_hs_0063518</t>
  </si>
  <si>
    <t>PPAT</t>
  </si>
  <si>
    <t>Homo sapiens phosphoribosyl pyrophosphate amidotransferase (PPAT)</t>
  </si>
  <si>
    <t>NP_002694.3</t>
  </si>
  <si>
    <t>PH_hs_0063557</t>
  </si>
  <si>
    <t>PH_hs_0063568</t>
  </si>
  <si>
    <t>PH_hs_0063579</t>
  </si>
  <si>
    <t>VPS54</t>
  </si>
  <si>
    <t>Homo sapiens vacuolar protein sorting 54 homolog (S. cerevisiae)</t>
  </si>
  <si>
    <t>PH_hs_0063580</t>
  </si>
  <si>
    <t>IFNA16|IFNA4|IFNA17|IFNA10|IFNA21|IFNA8</t>
  </si>
  <si>
    <t>3449|3441|3451|3446|3452|3445</t>
  </si>
  <si>
    <t>NM_002173|NM_021068|NM_021268|NM_002171|NM_002175|NM_002170</t>
  </si>
  <si>
    <t>NP_002164.1|NP_066546.1|NP_067091.1|NP_002162.1|NP_002166.2|NP_002161.2</t>
  </si>
  <si>
    <t>ENSG00000147885|ENSG00000236637|ENSG00000234829|ENSG00000186803|ENSG00000137080|ENSG00000120242</t>
  </si>
  <si>
    <t>PH_hs_0063607</t>
  </si>
  <si>
    <t>PH_hs_0063615</t>
  </si>
  <si>
    <t>PH_hs_0063619</t>
  </si>
  <si>
    <t>PH_hs_0063629</t>
  </si>
  <si>
    <t>ARL5A</t>
  </si>
  <si>
    <t>Homo sapiens ADP-ribosylation factor-like 5A (ARL5A)</t>
  </si>
  <si>
    <t>PH_hs_0063639</t>
  </si>
  <si>
    <t>PH_hs_0063655</t>
  </si>
  <si>
    <t>Homo sapiens protein tyrosine phosphatase, non-receptor type 12 (PTPN12)</t>
  </si>
  <si>
    <t>NM_001131009,NM_001131008,NM_002835</t>
  </si>
  <si>
    <t>NP_001124481.1,NP_001124480.1,NP_002826.3</t>
  </si>
  <si>
    <t>ENST00000248594,ENST00000460731,ENST00000523952,ENST00000433369,ENST00000415482,ENST00000435495,ENST00000418110,ENST00000522115,ENST00000440186,ENST00000447995,ENST00000481154,ENST00000494248,ENST00000464313,ENST00000407343,ENST00000520947,ENST00000519553</t>
  </si>
  <si>
    <t>ENSP00000248594,ENSP00000428735,ENSP00000404050,ENSP00000392429,ENSP00000397991,ENSP00000392526,ENSP00000430726,ENSP00000413449,ENSP00000397364,ENSP00000385079</t>
  </si>
  <si>
    <t>ENST00000405271,ENST00000456133,ENST00000263735,ENST00000474691,ENST00000419334,ENST00000490733</t>
  </si>
  <si>
    <t>ENSP00000385476,ENSP00000410675,ENSP00000263735,ENSP00000389028</t>
  </si>
  <si>
    <t>ENST00000231524,ENST00000381018,ENST00000274327,ENST00000508808,ENST00000506400,ENST00000505205,ENST00000513794</t>
  </si>
  <si>
    <t>ENSP00000231524,ENSP00000370406,ENSP00000274327,ENSP00000427103,ENSP00000424044,ENSP00000422144</t>
  </si>
  <si>
    <t>Homo sapiens indoleamine 2,3-dioxygenase 1 (IDO1)</t>
  </si>
  <si>
    <t>ENST00000523779,ENST00000521480,ENST00000521636,ENST00000253513,ENST00000518237,ENST00000522840,ENST00000522495,ENST00000519154,ENST00000518804</t>
  </si>
  <si>
    <t>ENSP00000253513,ENSP00000430950,ENSP00000429933,ENSP00000430505,ENSP00000428716,ENSP00000429297</t>
  </si>
  <si>
    <t>Homo sapiens amylo-alpha-1, 6-glucosidase, 4-alpha-glucanotransferase (AGL)</t>
  </si>
  <si>
    <t>NM_000644,NM_000643,NM_000646,NM_000645,NM_000642,NM_000028</t>
  </si>
  <si>
    <t>NP_000635.2,NP_000634.2,NP_000637.2,NP_000636.2,NP_000633.2,NP_000019.2</t>
  </si>
  <si>
    <t>ENST00000361915,ENST00000370165,ENST00000370163,ENST00000294724,ENST00000361302,ENST00000361522,ENST00000477753,ENST00000370161</t>
  </si>
  <si>
    <t>ENSP00000355106,ENSP00000359184,ENSP00000359182,ENSP00000294724,ENSP00000354971,ENSP00000354635,ENSP00000359180</t>
  </si>
  <si>
    <t>NM_001271581,NM_018981,NR_073367,NR_073366,NR_073365</t>
  </si>
  <si>
    <t>NP_001258510.1,NP_061854.1,-,-,-</t>
  </si>
  <si>
    <t>ENST00000264065,ENST00000491074,ENST00000469118,ENST00000418559,ENST00000494462,ENST00000459930,ENST00000444005,ENST00000616986,ENST00000613960,ENST00000537515</t>
  </si>
  <si>
    <t>ENSP00000264065,ENSP00000389483,ENSP00000400096,ENSP00000479930,ENSP00000481044,ENSP00000441560</t>
  </si>
  <si>
    <t>Homo sapiens TAF1 RNA polymerase II, TATA box binding protein (TBP)</t>
  </si>
  <si>
    <t>NM_138923,NM_004606</t>
  </si>
  <si>
    <t>NP_620278.1,NP_004597.2</t>
  </si>
  <si>
    <t>ENST00000373790,ENST00000276072,ENST00000483365,ENST00000472567,ENST00000478305,ENST00000474917,ENST00000483985,ENST00000463163,ENST00000437147,ENST00000373775,ENST00000462588,ENST00000485087,ENST00000468167,ENST00000461764,ENST00000492404,ENST00000482544,ENST00000461157,ENST00000467309,ENST00000497222,ENST00000423759</t>
  </si>
  <si>
    <t>ENSP00000362895,ENSP00000276072,ENSP00000424526,ENSP00000421611,ENSP00000406517,ENSP00000362880,ENSP00000406549</t>
  </si>
  <si>
    <t>ENST00000508982,ENST00000261308,ENST00000503435,ENST00000515447,ENST00000510930,ENST00000511908,ENST00000502703,ENST00000505380,ENST00000507608,ENST00000514172,ENST00000511334,ENST00000515151,ENST00000513773,ENST00000535264,ENST00000538977</t>
  </si>
  <si>
    <t>ENSP00000261308,ENSP00000427642,ENSP00000424519,ENSP00000423486,ENSP00000425390,ENSP00000427054,ENSP00000423234,ENSP00000421595,ENSP00000442371,ENSP00000444496</t>
  </si>
  <si>
    <t>ENST00000579232,ENST00000577429,ENST00000583228,ENST00000578529,ENST00000580038,ENST00000261600,ENST00000584470,ENST00000585307,ENST00000579891,ENST00000577552,ENST00000582313,ENST00000584642,ENST00000581269,ENST00000581116,ENST00000581576,ENST00000578224,ENST00000580870,ENST00000580544,ENST00000631280,ENST00000616322,ENST00000621904</t>
  </si>
  <si>
    <t>ENSP00000462757,ENSP00000261600,ENSP00000473276,ENSP00000473499,ENSP00000463965,ENSP00000461943,ENSP00000486359,ENSP00000480460,ENSP00000481599</t>
  </si>
  <si>
    <t>NM_014881,NM_001271816</t>
  </si>
  <si>
    <t>NP_055696.3,NP_001258745.1</t>
  </si>
  <si>
    <t>ENST00000361384,ENST00000369305,ENST00000476112</t>
  </si>
  <si>
    <t>ENSP00000355185,ENSP00000358311</t>
  </si>
  <si>
    <t>ENST00000268182,ENST00000633485,ENST00000560738,ENST00000560418,ENST00000559809,ENST00000559682,ENST00000560373,ENST00000558003,ENST00000560733,ENST00000560020,ENST00000560218,ENST00000558491,ENST00000561132,ENST00000561461,ENST00000559031,ENST00000559674,ENST00000558957,ENST00000561086</t>
  </si>
  <si>
    <t>ENSP00000268182,ENSP00000488618,ENSP00000453181,ENSP00000452723,ENSP00000484647,ENSP00000480393</t>
  </si>
  <si>
    <t>ENST00000557436,ENST00000245457</t>
  </si>
  <si>
    <t>ENSP00000450933,ENSP00000245457</t>
  </si>
  <si>
    <t>NM_001252296,NM_001806</t>
  </si>
  <si>
    <t>NP_001239225.1,NP_001797.1</t>
  </si>
  <si>
    <t>ENST00000284000,ENST00000585933</t>
  </si>
  <si>
    <t>ENSP00000284000,ENSP00000466022</t>
  </si>
  <si>
    <t>NR_027415,NM_152720,NM_002498,NM_001146099</t>
  </si>
  <si>
    <t>-,NP_689933.1,NP_002489.1,NP_001139571.1</t>
  </si>
  <si>
    <t>ENST00000620675,ENST00000610828,ENST00000550331,ENST00000617054,ENST00000618856,ENST00000551355,ENST00000552973,ENST00000550841,ENST00000618534,ENST00000611833,ENST00000629912</t>
  </si>
  <si>
    <t>ENSP00000481533,ENSP00000480328,ENSP00000484594,ENSP00000483058,ENSP00000447995,ENSP00000449679,ENSP00000484443,ENSP00000484086,ENSP00000487230</t>
  </si>
  <si>
    <t>Homo sapiens caspase 1, apoptosis-related cysteine peptidase (CASP1)</t>
  </si>
  <si>
    <t>NM_001257119,NM_001257118,NM_033293,NM_001223,NM_033292</t>
  </si>
  <si>
    <t>NP_001244048.1,NP_001244047.1,NP_150635.1,NP_001214.1,NP_150634.1</t>
  </si>
  <si>
    <t>ENST00000532439,ENST00000527625,ENST00000526568,ENST00000527979,ENST00000533400,ENST00000436863,ENST00000525825,ENST00000531166,ENST00000534497,ENST00000529871,ENST00000528974,ENST00000526511,ENST00000528424,ENST00000532520,ENST00000446369,ENST00000353247</t>
  </si>
  <si>
    <t>ENSP00000435536,ENSP00000434250,ENSP00000432340,ENSP00000433138,ENSP00000410076,ENSP00000434779,ENSP00000434303,ENSP00000436875,ENSP00000431947,ENSP00000434259,ENSP00000403260,ENSP00000344132</t>
  </si>
  <si>
    <t>Homo sapiens coatomer protein complex, subunit beta 1 (COPB1)</t>
  </si>
  <si>
    <t>NM_001144062,NM_001144061,NM_016451</t>
  </si>
  <si>
    <t>NP_001137534.1,NP_001137533.1,NP_057535.1</t>
  </si>
  <si>
    <t>ENST00000532088,ENST00000525214,ENST00000249923,ENST00000439561,ENST00000526527,ENST00000526191,ENST00000534234,ENST00000529866,ENST00000534771,ENST00000533096,ENST00000533533,ENST00000529210</t>
  </si>
  <si>
    <t>ENSP00000249923,ENSP00000397873,ENSP00000436383,ENSP00000431530,ENSP00000436401</t>
  </si>
  <si>
    <t>NM_001126055,NM_001126054,NM_003688</t>
  </si>
  <si>
    <t>NP_001119527.1,NP_001119526.1,NP_003679.2</t>
  </si>
  <si>
    <t>ENST00000421587,ENST00000378163,ENST00000378179,ENST00000378168,ENST00000378158,ENST00000378166,ENST00000442742,ENST00000472704,ENST00000378154,ENST00000469265,ENST00000486402,ENST00000468986,ENST00000477823</t>
  </si>
  <si>
    <t>ENSP00000400526,ENSP00000367405,ENSP00000367421,ENSP00000367410,ENSP00000367400,ENSP00000367408,ENSP00000398007,ENSP00000367396</t>
  </si>
  <si>
    <t>NM_001191005,NM_054016</t>
  </si>
  <si>
    <t>NP_001177934.1,NP_473357.1</t>
  </si>
  <si>
    <t>ENST00000344989,ENST00000453840,ENST00000341154,ENST00000484146,ENST00000473858,ENST00000374452,ENST00000374453,ENST00000343255,ENST00000492112,ENST00000485841,ENST00000338597,ENST00000495785,ENST00000473754,ENST00000497214,ENST00000485292,ENST00000469303</t>
  </si>
  <si>
    <t>ENSP00000342913,ENSP00000388991,ENSP00000419813,ENSP00000473293,ENSP00000363576,ENSP00000363577,ENSP00000344149,ENSP00000420195,ENSP00000473291</t>
  </si>
  <si>
    <t>ENST00000366997,ENST00000366996,ENST00000498690,ENST00000488600</t>
  </si>
  <si>
    <t>ENSP00000355964,ENSP00000355963</t>
  </si>
  <si>
    <t>ENST00000370544,ENST00000495705,ENST00000370542,ENST00000489303</t>
  </si>
  <si>
    <t>ENSP00000359575,ENSP00000359573</t>
  </si>
  <si>
    <t>NM_001256403,NM_016045</t>
  </si>
  <si>
    <t>NP_001243332.1,NP_057129.2</t>
  </si>
  <si>
    <t>ENST00000355937,ENST00000371033,ENST00000463057,ENST00000466051</t>
  </si>
  <si>
    <t>ENSP00000348206,ENSP00000360072,ENSP00000431440</t>
  </si>
  <si>
    <t>Homo sapiens zinc finger, DHHC-type containing 17 (ZDHHC17)</t>
  </si>
  <si>
    <t>ENST00000426126,ENST00000546778,ENST00000552453,ENST00000547620,ENST00000550876,ENST00000551407,ENST00000547604,ENST00000550163,ENST00000549682,ENST00000549944,ENST00000549010,ENST00000550789,ENST00000552693,ENST00000553091,ENST00000550244,ENST00000547673</t>
  </si>
  <si>
    <t>ENSP00000403397,ENSP00000447871,ENSP00000449551,ENSP00000446954,ENSP00000449734,ENSP00000447934,ENSP00000449728,ENSP00000449836,ENSP00000450295,ENSP00000448757</t>
  </si>
  <si>
    <t>NR_027653,NM_001160125,NM_001160124,NM_001300</t>
  </si>
  <si>
    <t>-,NP_001153597.1,NP_001153596.1,NP_001291.3</t>
  </si>
  <si>
    <t>ENST00000461124,ENST00000497571,ENST00000173785,ENST00000492125,ENST00000469435,ENST00000380946,ENST00000542957</t>
  </si>
  <si>
    <t>ENSP00000419923,ENSP00000419079,ENSP00000445301</t>
  </si>
  <si>
    <t>NM_001172292,NM_001099287</t>
  </si>
  <si>
    <t>NP_001165763.1,NP_001092757.1</t>
  </si>
  <si>
    <t>ENST00000435489,ENST00000311946,ENST00000521390,ENST00000519150,ENST00000519946</t>
  </si>
  <si>
    <t>ENSP00000406456,ENSP00000311687,ENSP00000430810</t>
  </si>
  <si>
    <t>NM_001199775,NM_001304</t>
  </si>
  <si>
    <t>NP_001186704.1,NP_001295.2</t>
  </si>
  <si>
    <t>ENST00000225719,ENST00000583275,ENST00000543464,ENST00000581826,ENST00000584221,ENST00000588977,ENST00000584050,ENST00000584051,ENST00000579502,ENST00000580396</t>
  </si>
  <si>
    <t>ENSP00000225719,ENSP00000444443,ENSP00000463763,ENSP00000466049,ENSP00000464255</t>
  </si>
  <si>
    <t>ENST00000512608,ENST00000296564,ENST00000505464</t>
  </si>
  <si>
    <t>ENSP00000485617,ENSP00000296564</t>
  </si>
  <si>
    <t>Homo sapiens zinc finger, HIT-type containing 6 (ZNHIT6)</t>
  </si>
  <si>
    <t>NM_017953,NM_001170670</t>
  </si>
  <si>
    <t>NP_060423.3,NP_001164141.1</t>
  </si>
  <si>
    <t>ENST00000370574,ENST00000431532</t>
  </si>
  <si>
    <t>ENSP00000359606,ENSP00000414344</t>
  </si>
  <si>
    <t>ENST00000409175,ENST00000259050,ENST00000421037,ENST00000473749,ENST00000409591,ENST00000461582,ENST00000420397,ENST00000478396,ENST00000539065</t>
  </si>
  <si>
    <t>ENSP00000386830,ENSP00000259050,ENSP00000392862,ENSP00000387238,ENSP00000391493,ENSP00000442992</t>
  </si>
  <si>
    <t>NM_001142434,NM_012215</t>
  </si>
  <si>
    <t>NP_001135906.1,NP_036347.1</t>
  </si>
  <si>
    <t>ENST00000361464,ENST00000462994,ENST00000482611,ENST00000357797,ENST00000494347,ENST00000479811,ENST00000461645,ENST00000492204,ENST00000370094,ENST00000429860,ENST00000439817</t>
  </si>
  <si>
    <t>ENSP00000354850,ENSP00000350445,ENSP00000359112,ENSP00000414235,ENSP00000409973</t>
  </si>
  <si>
    <t>ENST00000302609,ENST00000374633,ENST00000467975</t>
  </si>
  <si>
    <t>ENST00000464524,ENST00000455997,ENST00000418611,ENST00000463237,ENST00000389061,ENST00000441228,ENST00000463347,ENST00000438671,ENST00000478586,ENST00000445499,ENST00000463659,ENST00000433336,ENST00000464102,ENST00000471207,ENST00000485311</t>
  </si>
  <si>
    <t>ENSP00000389975,ENSP00000396387,ENSP00000373713,ENSP00000406263,ENSP00000411966,ENSP00000412883</t>
  </si>
  <si>
    <t>ENST00000383701,ENST00000295571,ENST00000496647,ENST00000403140,ENST00000480846,ENST00000424374,ENST00000456376,ENST00000540764,ENST00000540955,ENST00000615922</t>
  </si>
  <si>
    <t>ENSP00000373206,ENSP00000295571,ENSP00000384124,ENSP00000408090,ENSP00000411832,ENSP00000443780,ENSP00000444264,ENSP00000480083</t>
  </si>
  <si>
    <t>NM_001130850,NM_001130849,NM_016289</t>
  </si>
  <si>
    <t>NP_001124322.1,NP_001124321.1,NP_057373.1</t>
  </si>
  <si>
    <t>ENST00000258418,ENST00000410084,ENST00000409788,ENST00000484398,ENST00000478152,ENST00000493540,ENST00000614925</t>
  </si>
  <si>
    <t>ENSP00000258418,ENSP00000386642,ENSP00000386238,ENSP00000483459</t>
  </si>
  <si>
    <t>NM_145686,NM_001242560,NM_001242559,NM_004834,NM_145687</t>
  </si>
  <si>
    <t>NP_663719.2,NP_001229489.1,NP_001229488.1,NP_004825.3,NP_663720.1</t>
  </si>
  <si>
    <t>ENST00000427603,ENST00000425019,ENST00000413150,ENST00000347699,ENST00000456652,ENST00000417294,ENST00000496989,ENST00000489490,ENST00000476609,ENST00000421882,ENST00000418101,ENST00000477711,ENST00000498066,ENST00000491743,ENST00000350878,ENST00000302217,ENST00000350198,ENST00000324219,ENST00000627726,ENST00000625522</t>
  </si>
  <si>
    <t>ENSP00000403016,ENSP00000392830,ENSP00000389752,ENSP00000314363,ENSP00000387370,ENSP00000409720,ENSP00000396066,ENSP00000414766,ENSP00000343658,ENSP00000303600,ENSP00000281111,ENSP00000313644,ENSP00000487176,ENSP00000486116</t>
  </si>
  <si>
    <t>ENST00000249356,ENST00000491582,ENST00000465725</t>
  </si>
  <si>
    <t>ENST00000366812,ENST00000464927</t>
  </si>
  <si>
    <t>ENST00000263773,ENST00000526109,ENST00000532646,ENST00000530207,ENST00000525792,ENST00000531394,ENST00000525316,ENST00000529156,ENST00000524696,ENST00000528388,ENST00000534003,ENST00000527894,ENST00000544590,ENST00000533707,ENST00000540172,ENST00000542975</t>
  </si>
  <si>
    <t>ENSP00000263773,ENSP00000440181</t>
  </si>
  <si>
    <t>NM_005168,NM_001254738</t>
  </si>
  <si>
    <t>NP_005159.1,NP_001241667.1</t>
  </si>
  <si>
    <t>ENST00000375734,ENST00000263895,ENST00000409557,ENST00000497865,ENST00000473639,ENST00000466334,ENST00000472416,ENST00000454202,ENST00000439275</t>
  </si>
  <si>
    <t>ENSP00000364886,ENSP00000263895,ENSP00000386576,ENSP00000411950,ENSP00000395997</t>
  </si>
  <si>
    <t>ENST00000440469,ENST00000311630</t>
  </si>
  <si>
    <t>ENSP00000389868,ENSP00000310332</t>
  </si>
  <si>
    <t>ENST00000294383,ENST00000484447,ENST00000480962,ENST00000472566,ENST00000512504,ENST00000482197</t>
  </si>
  <si>
    <t>ENST00000295522,ENST00000490800</t>
  </si>
  <si>
    <t>ENST00000266673,ENST00000550524,ENST00000549735,ENST00000546677,ENST00000546795,ENST00000550787</t>
  </si>
  <si>
    <t>ENSP00000266673,ENSP00000448587,ENSP00000449955,ENSP00000448528,ENSP00000450089,ENSP00000448069</t>
  </si>
  <si>
    <t>NM_001145776,NM_001145775,NM_004117</t>
  </si>
  <si>
    <t>NP_001139248.1,NP_001139247.1,NP_004108.1</t>
  </si>
  <si>
    <t>ENST00000357266,ENST00000536438,ENST00000539068,ENST00000542713</t>
  </si>
  <si>
    <t>ENSP00000349811,ENSP00000444810,ENSP00000441205,ENSP00000442340</t>
  </si>
  <si>
    <t>Homo sapiens FES proto-oncogene, tyrosine kinase (FES)</t>
  </si>
  <si>
    <t>NM_001143785,NM_001143784,NM_001143783,NM_002005</t>
  </si>
  <si>
    <t>NP_001137257.1,NP_001137256.1,NP_001137255.1,NP_001996.1</t>
  </si>
  <si>
    <t>ENST00000416779,ENST00000328850,ENST00000470152,ENST00000414248,ENST00000481665,ENST00000559355,ENST00000394302,ENST00000452243,ENST00000464684,ENST00000443697,ENST00000394300,ENST00000444422,ENST00000497945,ENST00000494259,ENST00000448367,ENST00000496379,ENST00000462476</t>
  </si>
  <si>
    <t>ENSP00000410477,ENSP00000331504,ENSP00000454146,ENSP00000414629,ENSP00000454089,ENSP00000377839,ENSP00000392696,ENSP00000435811,ENSP00000395425,ENSP00000377837,ENSP00000400868</t>
  </si>
  <si>
    <t>ENST00000358912,ENST00000466177,ENST00000494203,ENST00000468869</t>
  </si>
  <si>
    <t>NM_203437,NM_017657,NM_001002243</t>
  </si>
  <si>
    <t>NP_982261.2,NP_060127.3,NP_001002243.1</t>
  </si>
  <si>
    <t>ENST00000238856,ENST00000498706,ENST00000409933,ENST00000409183,ENST00000487769,ENST00000238855,ENST00000422803</t>
  </si>
  <si>
    <t>ENSP00000238856,ENSP00000387071,ENSP00000386913,ENSP00000238855,ENSP00000397726</t>
  </si>
  <si>
    <t>ENST00000467509,ENST00000460671,ENST00000421528,ENST00000371226,ENST00000476933,ENST00000456980,ENST00000467063,ENST00000419242,ENST00000426139,ENST00000453710,ENST00000482274</t>
  </si>
  <si>
    <t>ENSP00000391941,ENSP00000360270,ENSP00000395053,ENSP00000409589,ENSP00000416495,ENSP00000392978,ENSP00000474081</t>
  </si>
  <si>
    <t>ENST00000371142,ENST00000485093,ENST00000490192,ENST00000443638,ENST00000464654,ENST00000475401</t>
  </si>
  <si>
    <t>ENSP00000360184,ENSP00000401152</t>
  </si>
  <si>
    <t>ENST00000225726,ENST00000403162,ENST00000582252,ENST00000582331,ENST00000584112,ENST00000580986,ENST00000612558</t>
  </si>
  <si>
    <t>ENSP00000225726,ENSP00000384888,ENSP00000463577,ENSP00000462202,ENSP00000482148</t>
  </si>
  <si>
    <t>NM_001164271,NM_006094,NM_182643</t>
  </si>
  <si>
    <t>NP_001157743.1,NP_006085.2,NP_872584.2</t>
  </si>
  <si>
    <t>ENST00000276297,ENST00000358919,ENST00000510318,ENST00000512044,ENST00000520226,ENST00000521730,ENST00000513883,ENST00000510250,ENST00000509922,ENST00000503161,ENST00000515225,ENST00000506171,ENST00000316609,ENST00000511869,ENST00000517868,ENST00000631382,ENST00000517333,ENST00000529018</t>
  </si>
  <si>
    <t>ENSP00000276297,ENSP00000351797,ENSP00000422595,ENSP00000428028,ENSP00000429537,ENSP00000321034,ENSP00000425878,ENSP00000473289,ENSP00000488100</t>
  </si>
  <si>
    <t>NM_203499,NM_007372</t>
  </si>
  <si>
    <t>NP_987095.1,NP_031398.2</t>
  </si>
  <si>
    <t>ENST00000581135,ENST00000578681,ENST00000583590,ENST00000359353,ENST00000580108,ENST00000578137,ENST00000584261,ENST00000577940,ENST00000579511,ENST00000577978,ENST00000584010,ENST00000581477,ENST00000578593,ENST00000584951,ENST00000579539,ENST00000582985,ENST00000581767,ENST00000389924,ENST00000457800</t>
  </si>
  <si>
    <t>ENSP00000464232,ENSP00000464050,ENSP00000463561,ENSP00000352308,ENSP00000463038,ENSP00000462174,ENSP00000461957,ENSP00000374574,ENSP00000390121</t>
  </si>
  <si>
    <t>NM_001114397,NM_020865</t>
  </si>
  <si>
    <t>NP_001107869.1,NP_065916.2</t>
  </si>
  <si>
    <t>ENST00000496811,ENST00000308361,ENST00000495598,ENST00000329463,ENST00000477549,ENST00000479934,ENST00000481941,ENST00000460695,ENST00000469977,ENST00000481332,ENST00000460875,ENST00000462464,ENST00000491011</t>
  </si>
  <si>
    <t>ENSP00000417078,ENSP00000309296,ENSP00000330113,ENSP00000418756,ENSP00000419862,ENSP00000419761</t>
  </si>
  <si>
    <t>ENST00000560626,ENST00000560854,ENST00000558305,ENST00000559791,ENST00000564328,ENST00000565820,ENST00000567808,ENST00000567337,ENST00000569819,ENST00000569159,ENST00000569692,ENST00000312493</t>
  </si>
  <si>
    <t>ENSP00000452796,ENSP00000453924,ENSP00000457880,ENSP00000457602,ENSP00000309230</t>
  </si>
  <si>
    <t>ENST00000439174,ENST00000541118</t>
  </si>
  <si>
    <t>ENSP00000400717,ENSP00000439647</t>
  </si>
  <si>
    <t>Homo sapiens kinase D-interacting substrate, 220kDa (KIDINS220)</t>
  </si>
  <si>
    <t>ENST00000436566,ENST00000496383,ENST00000256707,ENST00000473731,ENST00000488729,ENST00000489024,ENST00000471685,ENST00000459813,ENST00000319688,ENST00000474782,ENST00000471275,ENST00000496725</t>
  </si>
  <si>
    <t>ENSP00000420364,ENSP00000256707,ENSP00000418974,ENSP00000417390,ENSP00000419964,ENSP00000419232,ENSP00000319947</t>
  </si>
  <si>
    <t>NM_144713,NM_001170793,NM_001170792,NM_001170791</t>
  </si>
  <si>
    <t>NP_653314.3,NP_001164264.1,NP_001164263.1,NP_001164262.1</t>
  </si>
  <si>
    <t>ENST00000414644,ENST00000354545,ENST00000440353,ENST00000406384,ENST00000407257,ENST00000234195,ENST00000442857,ENST00000402091,ENST00000496735,ENST00000425641,ENST00000469469,ENST00000417700</t>
  </si>
  <si>
    <t>ENSP00000393705,ENSP00000346549,ENSP00000399495,ENSP00000386004,ENSP00000385049,ENSP00000234195,ENSP00000416367,ENSP00000385529,ENSP00000406331,ENSP00000392977</t>
  </si>
  <si>
    <t>NM_001243280,NM_001627</t>
  </si>
  <si>
    <t>NP_001230209.1,NP_001618.2</t>
  </si>
  <si>
    <t>ENST00000306107,ENST00000470756,ENST00000472644,ENST00000481337,ENST00000486979,ENST00000460954,ENST00000465413,ENST00000491388,ENST00000489178</t>
  </si>
  <si>
    <t>ENSP00000305988,ENSP00000419236,ENSP00000418213,ENSP00000418937</t>
  </si>
  <si>
    <t>NM_001243775,NM_001113547,NM_001113546,NM_016357</t>
  </si>
  <si>
    <t>NP_001230704.1,NP_001107019.1,NP_001107018.1,NP_057441.1</t>
  </si>
  <si>
    <t>ENST00000552491,ENST00000547825,ENST00000552823,ENST00000394943,ENST00000341247,ENST00000552783,ENST00000552909,ENST00000552720,ENST00000549064,ENST00000552338,ENST00000552008,ENST00000552045,ENST00000551486,ENST00000550611,ENST00000551691,ENST00000550592</t>
  </si>
  <si>
    <t>ENSP00000448463,ENSP00000448706,ENSP00000450266,ENSP00000378400,ENSP00000340184,ENSP00000448779,ENSP00000450087,ENSP00000448411,ENSP00000447975,ENSP00000449890</t>
  </si>
  <si>
    <t>ENST00000379516,ENST00000512394,ENST00000506874,ENST00000505934,ENST00000505854,ENST00000514949,ENST00000510372,ENST00000511365,ENST00000509281,ENST00000506847,ENST00000514030,ENST00000507321,ENST00000507852</t>
  </si>
  <si>
    <t>ENSP00000368831,ENSP00000422560,ENSP00000422413,ENSP00000421663</t>
  </si>
  <si>
    <t>NM_001136140,NM_016308,NR_046394</t>
  </si>
  <si>
    <t>NP_001129612.1,NP_057392.1,-</t>
  </si>
  <si>
    <t>ENST00000371873,ENST00000371871,ENST00000471289,ENST00000450808,ENST00000371870</t>
  </si>
  <si>
    <t>ENSP00000360939,ENSP00000360937,ENSP00000433782,ENSP00000398192</t>
  </si>
  <si>
    <t>NM_003645,NM_001159629</t>
  </si>
  <si>
    <t>NP_003636.2,NP_001153101.1</t>
  </si>
  <si>
    <t>ENST00000267842,ENST00000380902,ENST00000544960,ENST00000559938</t>
  </si>
  <si>
    <t>ENSP00000267842,ENSP00000370289,ENSP00000444549</t>
  </si>
  <si>
    <t>NM_001130996,NM_000859</t>
  </si>
  <si>
    <t>NP_001124468.1,NP_000850.1</t>
  </si>
  <si>
    <t>ENST00000511206,ENST00000287936,ENST00000343975,ENST00000509431,ENST00000507942,ENST00000442032,ENST00000504466,ENST00000515776,ENST00000508070,ENST00000509085,ENST00000511986,ENST00000514315,ENST00000512053</t>
  </si>
  <si>
    <t>ENSP00000426745,ENSP00000287936,ENSP00000340816,ENSP00000427340,ENSP00000409100,ENSP00000421378,ENSP00000420871</t>
  </si>
  <si>
    <t>Homo sapiens ATP-binding cassette, sub-family E (OABP)</t>
  </si>
  <si>
    <t>NM_001040876,NM_002940</t>
  </si>
  <si>
    <t>NP_001035809.1,NP_002931.2</t>
  </si>
  <si>
    <t>ENST00000296577,ENST00000502586,ENST00000502803,ENST00000507193,ENST00000506506,ENST00000504292,ENST00000515678,ENST00000509593,ENST00000510321,ENST00000504683</t>
  </si>
  <si>
    <t>ENSP00000296577,ENSP00000421250,ENSP00000422068,ENSP00000423415</t>
  </si>
  <si>
    <t>NM_001008707,NM_004434</t>
  </si>
  <si>
    <t>NP_001008707.1,NP_004425.2</t>
  </si>
  <si>
    <t>ENST00000554479,ENST00000555145,ENST00000327921,ENST00000556199,ENST00000556835,ENST00000262233,ENST00000334192,ENST00000555096,ENST00000556714,ENST00000553720,ENST00000556947,ENST00000556758,ENST00000557741,ENST00000555277,ENST00000554553,ENST00000554386,ENST00000555812,ENST00000554111,ENST00000557313,ENST00000553313</t>
  </si>
  <si>
    <t>ENSP00000451346,ENSP00000452160,ENSP00000327384,ENSP00000451991,ENSP00000451669,ENSP00000262233,ENSP00000334314,ENSP00000451269,ENSP00000452089,ENSP00000452292,ENSP00000451805,ENSP00000452063,ENSP00000451706,ENSP00000452474,ENSP00000451288</t>
  </si>
  <si>
    <t>NM_017691,NM_001199017,NM_001199018</t>
  </si>
  <si>
    <t>NP_060161.2,NP_001185946.1,NP_001185947.1</t>
  </si>
  <si>
    <t>ENST00000544974,ENST00000558799,ENST00000558546,ENST00000561081,ENST00000559201,ENST00000560107,ENST00000560369,ENST00000260382,ENST00000559670,ENST00000558032,ENST00000560755,ENST00000560980,ENST00000558204,ENST00000557977,ENST00000560691,ENST00000558271,ENST00000436542,ENST00000558137,ENST00000561285,ENST00000559469,ENST00000558456,ENST00000560158,ENST00000558808,ENST00000559806,ENST00000559069,ENST00000559685,ENST00000559422,ENST00000561131,ENST00000443425</t>
  </si>
  <si>
    <t>ENSP00000439600,ENSP00000452925,ENSP00000453728,ENSP00000454196,ENSP00000453807,ENSP00000453273,ENSP00000260382,ENSP00000453731,ENSP00000453456,ENSP00000452894,ENSP00000453038,ENSP00000454760,ENSP00000454170,ENSP00000454026,ENSP00000452775,ENSP00000452821,ENSP00000453300,ENSP00000453402,ENSP00000414065</t>
  </si>
  <si>
    <t>Homo sapiens GRB2 associated, regulator of MAPK1 (GAREM)</t>
  </si>
  <si>
    <t>NM_022751,NM_001242409</t>
  </si>
  <si>
    <t>NP_073588.1,NP_001229338.1</t>
  </si>
  <si>
    <t>ENST00000583696,ENST00000399218,ENST00000269209,ENST00000578619</t>
  </si>
  <si>
    <t>ENSP00000464185,ENSP00000382165,ENSP00000269209</t>
  </si>
  <si>
    <t>ENST00000380861,ENST00000466248,ENST00000454666</t>
  </si>
  <si>
    <t>ENSP00000370242,ENSP00000399584</t>
  </si>
  <si>
    <t>ENST00000445174,ENST00000423530,ENST00000419922,ENST00000413563,ENST00000451392,ENST00000417922</t>
  </si>
  <si>
    <t>NM_001079537,NM_177452</t>
  </si>
  <si>
    <t>NP_001073005.1,NP_803235.1</t>
  </si>
  <si>
    <t>ENST00000469361,ENST00000330149,ENST00000347691,ENST00000557764,ENST00000555269,ENST00000554018,ENST00000556765</t>
  </si>
  <si>
    <t>ENSP00000330289,ENSP00000335171,ENSP00000452236,ENSP00000450670,ENSP00000451711</t>
  </si>
  <si>
    <t>ENST00000263736,ENST00000490133,ENST00000475073,ENST00000493649,ENST00000461805</t>
  </si>
  <si>
    <t>NM_018131,NM_001127182</t>
  </si>
  <si>
    <t>NP_060601.3,NP_001120654.1</t>
  </si>
  <si>
    <t>ENST00000371485,ENST00000445435,ENST00000496302</t>
  </si>
  <si>
    <t>ENSP00000360540,ENSP00000389150</t>
  </si>
  <si>
    <t>ENST00000370752,ENST00000481908,ENST00000493637,ENST00000494957,ENST00000481429</t>
  </si>
  <si>
    <t>ENST00000275820,ENST00000460332,ENST00000475176,ENST00000472491,ENST00000489850,ENST00000469271,ENST00000485661,ENST00000486131</t>
  </si>
  <si>
    <t>ENST00000379692,ENST00000506900,ENST00000515757,ENST00000511408</t>
  </si>
  <si>
    <t>ENSP00000369014,ENSP00000423352,ENSP00000426723</t>
  </si>
  <si>
    <t>NM_001083953,NM_022065,NR_073394</t>
  </si>
  <si>
    <t>NP_001077422.1,NP_071348.3,-</t>
  </si>
  <si>
    <t>ENST00000405975,ENST00000407351,ENST00000405006,ENST00000398653,ENST00000467668,ENST00000485018,ENST00000486735,ENST00000473004,ENST00000408045,ENST00000497770,ENST00000402796,ENST00000485353,ENST00000469323,ENST00000436947,ENST00000462185,ENST00000402360,ENST00000404790,ENST00000474159,ENST00000403856</t>
  </si>
  <si>
    <t>ENSP00000386088,ENSP00000386112,ENSP00000385995,ENSP00000381647,ENSP00000384172,ENSP00000385003,ENSP00000385441,ENSP00000384266,ENSP00000445294,ENSP00000385469</t>
  </si>
  <si>
    <t>NM_001142615,NM_001142616,NM_001142614,NM_015252</t>
  </si>
  <si>
    <t>NP_001136087.1,NP_001136088.1,NP_001136086.1,NP_056067.2</t>
  </si>
  <si>
    <t>ENST00000405015,ENST00000413434,ENST00000426940,ENST00000449820,ENST00000427809,ENST00000405482,ENST00000472809,ENST00000494958,ENST00000431489,ENST00000263991,ENST00000467436,ENST00000405289,ENST00000462441,ENST00000469591,ENST00000444311,ENST00000454124,ENST00000422032,ENST00000496857,ENST00000491965,ENST00000471179</t>
  </si>
  <si>
    <t>ENSP00000384143,ENSP00000392192,ENSP00000392441,ENSP00000399609,ENSP00000404617,ENSP00000384829,ENSP00000403783,ENSP00000263991,ENSP00000385524,ENSP00000399927,ENSP00000396186,ENSP00000388442</t>
  </si>
  <si>
    <t>ENST00000299575,ENST00000562969,ENST00000539819,ENST00000564241,ENST00000565237,ENST00000566488</t>
  </si>
  <si>
    <t>ENSP00000299575,ENSP00000463478,ENSP00000464427,ENSP00000455497</t>
  </si>
  <si>
    <t>NM_005397,NM_001018111</t>
  </si>
  <si>
    <t>NP_005388.2,NP_001018121.1</t>
  </si>
  <si>
    <t>ENST00000446198,ENST00000484346,ENST00000378555,ENST00000322985,ENST00000490761,ENST00000487965,ENST00000482581,ENST00000465001</t>
  </si>
  <si>
    <t>ENSP00000390152,ENSP00000367817,ENSP00000319782</t>
  </si>
  <si>
    <t>Homo sapiens TBC1 domain family, member 23 (TBC1D23)</t>
  </si>
  <si>
    <t>NM_001199198,NM_018309</t>
  </si>
  <si>
    <t>NP_001186127.1,NP_060779.2</t>
  </si>
  <si>
    <t>ENST00000485687,ENST00000344949,ENST00000394144,ENST00000486274,ENST00000471098,ENST00000475134,ENST00000484231,ENST00000496167,ENST00000471273</t>
  </si>
  <si>
    <t>ENSP00000417487,ENSP00000340693,ENSP00000377700,ENSP00000418714,ENSP00000418059</t>
  </si>
  <si>
    <t>ENST00000287912,ENST00000401878,ENST00000392759,ENST00000307403,ENST00000440108,ENST00000392761,ENST00000486747,ENST00000438356,ENST00000341148,ENST00000392755</t>
  </si>
  <si>
    <t>ENSP00000287912,ENSP00000384160,ENSP00000376513,ENSP00000303878,ENSP00000394987,ENSP00000376514,ENSP00000405793,ENSP00000341583,ENSP00000376510</t>
  </si>
  <si>
    <t>ENST00000299240,ENST00000039989,ENST00000534347,ENST00000530469,ENST00000526774,ENST00000524936,ENST00000525029,ENST00000530483,ENST00000534417,ENST00000525135,ENST00000525543,ENST00000533554,ENST00000418561,ENST00000529140,ENST00000533072</t>
  </si>
  <si>
    <t>ENSP00000299240,ENSP00000039989,ENSP00000432900,ENSP00000473320,ENSP00000407314</t>
  </si>
  <si>
    <t>NM_001040610,NM_024580</t>
  </si>
  <si>
    <t>NP_001035700.1,NP_078856.4</t>
  </si>
  <si>
    <t>ENST00000268206,ENST00000359445,ENST00000561340,ENST00000559429,ENST00000560095,ENST00000561331,ENST00000557939,ENST00000561389,ENST00000557844,ENST00000558974</t>
  </si>
  <si>
    <t>ENSP00000268206,ENSP00000352418,ENSP00000452825,ENSP00000452687,ENSP00000454186,ENSP00000452990</t>
  </si>
  <si>
    <t>ENST00000304056,ENST00000485611,ENST00000477129,ENST00000452926,ENST00000453627,ENST00000423022,ENST00000424468,ENST00000621876</t>
  </si>
  <si>
    <t>ENSP00000302586,ENSP00000395715,ENSP00000407059,ENSP00000407520,ENSP00000388236,ENSP00000481197</t>
  </si>
  <si>
    <t>NM_005590,NM_005591</t>
  </si>
  <si>
    <t>NP_005581.2,NP_005582.1</t>
  </si>
  <si>
    <t>ENST00000323929,ENST00000407439,ENST00000323977,ENST00000393241,ENST00000535120,ENST00000540013,ENST00000541157,ENST00000536754,ENST00000538923,ENST00000536144</t>
  </si>
  <si>
    <t>ENSP00000325863,ENSP00000385614,ENSP00000326094,ENSP00000376933,ENSP00000440986,ENSP00000439511,ENSP00000442809</t>
  </si>
  <si>
    <t>ENST00000266754,ENST00000547754,ENST00000547739,ENST00000550295,ENST00000537247,ENST00000548113,ENST00000548067,ENST00000552854,ENST00000539410</t>
  </si>
  <si>
    <t>ENSP00000266754,ENSP00000448955,ENSP00000448184,ENSP00000442406,ENSP00000450107,ENSP00000439672</t>
  </si>
  <si>
    <t>ENST00000370152,ENST00000421661</t>
  </si>
  <si>
    <t>ENSP00000359171,ENSP00000411185</t>
  </si>
  <si>
    <t>ENST00000549620,ENST00000301180,ENST00000546719,ENST00000552328,ENST00000546732</t>
  </si>
  <si>
    <t>ENSP00000301180,ENSP00000450181</t>
  </si>
  <si>
    <t>ENST00000409592,ENST00000258390,ENST00000535663,ENST00000492251,ENST00000422684,ENST00000489831,ENST00000472652,ENST00000492369,ENST00000543715,ENST00000471810,ENST00000474102,ENST00000435582,ENST00000458608</t>
  </si>
  <si>
    <t>ENSP00000386694,ENSP00000258390,ENSP00000437947,ENSP00000395178,ENSP00000394552,ENSP00000397389</t>
  </si>
  <si>
    <t>ENST00000416247,ENST00000376935</t>
  </si>
  <si>
    <t>ENSP00000451866,ENSP00000452219</t>
  </si>
  <si>
    <t>Homo sapiens collagen, type IV, alpha 3 (Goodpasture antigen)</t>
  </si>
  <si>
    <t>NM_005713,NM_031361,NM_001130105</t>
  </si>
  <si>
    <t>NP_005704.1,NP_112729.1,NP_001123577.1</t>
  </si>
  <si>
    <t>ENST00000508809,ENST00000261415,ENST00000508692,ENST00000405807,ENST00000380494,ENST00000604926,ENST00000357457</t>
  </si>
  <si>
    <t>ENSP00000424244,ENSP00000261415,ENSP00000383996,ENSP00000369862,ENSP00000350046</t>
  </si>
  <si>
    <t>ENST00000535141,ENST00000307897,ENST00000446801,ENST00000563698,ENST00000565627,ENST00000564309,ENST00000567926,ENST00000564179,ENST00000565960,ENST00000561583,ENST00000562645,ENST00000567816,ENST00000569489,ENST00000613446</t>
  </si>
  <si>
    <t>ENSP00000437749,ENSP00000311429,ENSP00000402217,ENSP00000454737,ENSP00000456689,ENSP00000455548,ENSP00000455336,ENSP00000477955</t>
  </si>
  <si>
    <t>Homo sapiens protein phosphatase 1, catalytic subunit, beta isozyme (PPP1CB)</t>
  </si>
  <si>
    <t>NM_206876,NM_002709</t>
  </si>
  <si>
    <t>NP_996759.1,NP_002700.1</t>
  </si>
  <si>
    <t>ENST00000455580,ENST00000420282,ENST00000441461,ENST00000427786,ENST00000296122,ENST00000395366,ENST00000464273,ENST00000418910,ENST00000358506</t>
  </si>
  <si>
    <t>ENSP00000390715,ENSP00000398839,ENSP00000414918,ENSP00000394589,ENSP00000296122,ENSP00000378769,ENSP00000388056,ENSP00000351298</t>
  </si>
  <si>
    <t>NM_001258272,NM_080666,NM_001008726</t>
  </si>
  <si>
    <t>NP_001245201.1,NP_542397.1,NP_001008726.1</t>
  </si>
  <si>
    <t>ENST00000394942,ENST00000267522,ENST00000554717,ENST00000620954</t>
  </si>
  <si>
    <t>ENSP00000378399,ENSP00000267522,ENSP00000451702,ENSP00000480112</t>
  </si>
  <si>
    <t>Homo sapiens zinc finger, DHHC-type containing 6 (ZDHHC6)</t>
  </si>
  <si>
    <t>ENST00000626395,ENST00000369405,ENST00000369404,ENST00000482410,ENST00000471035</t>
  </si>
  <si>
    <t>ENSP00000486105,ENSP00000358413,ENSP00000358412</t>
  </si>
  <si>
    <t>ENST00000261381,ENST00000575674,ENST00000568226,ENST00000563403</t>
  </si>
  <si>
    <t>ENST00000274382,ENST00000512378</t>
  </si>
  <si>
    <t>ENSP00000274382,ENSP00000427469</t>
  </si>
  <si>
    <t>NM_022496,NR_048569,NR_048568</t>
  </si>
  <si>
    <t>NP_071941.1,-,-</t>
  </si>
  <si>
    <t>ENST00000551652,ENST00000553038,ENST00000188312,ENST00000551517,ENST00000546902,ENST00000550813,ENST00000549977,ENST00000547458,ENST00000548180,ENST00000551440,ENST00000552064,ENST00000552376,ENST00000551617</t>
  </si>
  <si>
    <t>ENSP00000448508,ENSP00000447641,ENSP00000188312,ENSP00000448669,ENSP00000447565,ENSP00000450330,ENSP00000448447,ENSP00000447237,ENSP00000448356</t>
  </si>
  <si>
    <t>ENST00000381070,ENST00000508024,ENST00000485990,ENST00000506168,ENST00000545000</t>
  </si>
  <si>
    <t>ENSP00000370460,ENSP00000426802</t>
  </si>
  <si>
    <t>Homo sapiens calmodulin regulated spectrin-associated protein family, member 2 (CAMSAP2)</t>
  </si>
  <si>
    <t>ENST00000358823,ENST00000413307,ENST00000236925,ENST00000532732,ENST00000447701,ENST00000475326</t>
  </si>
  <si>
    <t>ENSP00000351684,ENSP00000416800,ENSP00000236925,ENSP00000395365,ENSP00000434766</t>
  </si>
  <si>
    <t>NM_001042453,NM_001042452,NM_016542</t>
  </si>
  <si>
    <t>NP_001035918.1,NP_001035917.1,NP_057626.2</t>
  </si>
  <si>
    <t>ENST00000394334,ENST00000481105,ENST00000354719,ENST00000394335,ENST00000496850</t>
  </si>
  <si>
    <t>ENSP00000377867,ENSP00000418753,ENSP00000346755,ENSP00000377868,ENSP00000419702</t>
  </si>
  <si>
    <t>NM_001139488,NM_170672,NM_015376</t>
  </si>
  <si>
    <t>NP_001132960.1,NP_733772.1,NP_056191.1</t>
  </si>
  <si>
    <t>ENST00000402538,ENST00000484909,ENST00000497723,ENST00000479528,ENST00000437184,ENST00000403687,ENST00000482857,ENST00000442390,ENST00000425210,ENST00000444784,ENST00000423159,ENST00000494927,ENST00000407811,ENST00000477927,ENST00000490150,ENST00000419772,ENST00000468856,ENST00000482731</t>
  </si>
  <si>
    <t>ENSP00000385886,ENSP00000393866,ENSP00000384192,ENSP00000405648,ENSP00000401974,ENSP00000400602,ENSP00000388139,ENSP00000383917,ENSP00000409593</t>
  </si>
  <si>
    <t>Homo sapiens vezatin, adherens junctions transmembrane protein (VEZT)</t>
  </si>
  <si>
    <t>NM_017599,NR_038242,NR_038241</t>
  </si>
  <si>
    <t>NP_060069.3,-,-</t>
  </si>
  <si>
    <t>ENST00000549589,ENST00000550803,ENST00000436874,ENST00000547611,ENST00000547997,ENST00000549002,ENST00000546557,ENST00000551746,ENST00000548838,ENST00000547484,ENST00000551472,ENST00000551792,ENST00000553063,ENST00000548455,ENST00000546398,ENST00000552031,ENST00000548822,ENST00000549624,ENST00000548245,ENST00000552626,ENST00000552660,ENST00000551039,ENST00000551994,ENST00000549192,ENST00000552821,ENST00000548371,ENST00000550106,ENST00000547894,ENST00000551695,ENST00000551356,ENST00000551311,ENST00000546365,ENST00000551902,ENST00000546445,ENST00000546409,ENST00000397792,ENST00000356859,ENST00000552827,ENST00000552306,ENST00000546951,ENST00000261219</t>
  </si>
  <si>
    <t>ENSP00000449056,ENSP00000410083,ENSP00000447891,ENSP00000449346,ENSP00000449591,ENSP00000447080,ENSP00000448866,ENSP00000447010,ENSP00000449701,ENSP00000447044,ENSP00000448019,ENSP00000448555,ENSP00000446666,ENSP00000447786,ENSP00000448738,ENSP00000448724,ENSP00000447633,ENSP00000447468,ENSP00000450009,ENSP00000447151,ENSP00000380894,ENSP00000261219</t>
  </si>
  <si>
    <t>Homo sapiens TAF4 RNA polymerase II, TATA box binding protein (TBP)</t>
  </si>
  <si>
    <t>ENST00000474089,ENST00000252996,ENST00000436129,ENST00000608458,ENST00000488539,ENST00000609041,ENST00000486599,ENST00000609045,ENST00000608887</t>
  </si>
  <si>
    <t>ENSP00000476270,ENSP00000252996,ENSP00000476294</t>
  </si>
  <si>
    <t>ENST00000265138,ENST00000511391,ENST00000505631,ENST00000514284,ENST00000508948,ENST00000503192,ENST00000507075</t>
  </si>
  <si>
    <t>Homo sapiens RAB39B, member RAS oncogene family (RAB39B)</t>
  </si>
  <si>
    <t>NM_001267606,NM_001267605,NM_001267597,NM_021045</t>
  </si>
  <si>
    <t>NP_001254535.1,NP_001254534.1,NP_001254526.1,NP_066383.1</t>
  </si>
  <si>
    <t>ENST00000485560,ENST00000395867,ENST00000494133,ENST00000374648,ENST00000395873,ENST00000395874,ENST00000615949,ENST00000357328,ENST00000611278</t>
  </si>
  <si>
    <t>ENSP00000473904,ENSP00000379208,ENSP00000363778,ENSP00000379214,ENSP00000379215,ENSP00000477940,ENSP00000349882,ENSP00000484191</t>
  </si>
  <si>
    <t>Homo sapiens zinc finger, BED-type containing 5 (ZBED5)</t>
  </si>
  <si>
    <t>NM_001143667,NM_021211</t>
  </si>
  <si>
    <t>NP_001137139.1,NP_067034.2</t>
  </si>
  <si>
    <t>ENST00000525350,ENST00000533903,ENST00000533925,ENST00000432999,ENST00000413761,ENST00000526020,ENST00000526852,ENST00000534690,ENST00000528289,ENST00000530570</t>
  </si>
  <si>
    <t>ENSP00000398106,ENSP00000415939,ENSP00000433093,ENSP00000435663,ENSP00000435491,ENSP00000432764</t>
  </si>
  <si>
    <t>ENST00000265433,ENST00000396252,ENST00000409330,ENST00000613033,ENST00000474821,ENST00000520325,ENST00000519426,ENST00000517772,ENST00000523444,ENST00000517337,ENST00000494804</t>
  </si>
  <si>
    <t>ENSP00000265433,ENSP00000379551,ENSP00000386924,ENSP00000484487,ENSP00000430983,ENSP00000428717,ENSP00000428252,ENSP00000429971</t>
  </si>
  <si>
    <t>ENST00000372759,ENST00000479131,ENST00000472583,ENST00000474142</t>
  </si>
  <si>
    <t>ENST00000264350,ENST00000508695,ENST00000508159,ENST00000510223,ENST00000502913</t>
  </si>
  <si>
    <t>ENSP00000264350,ENSP00000424129</t>
  </si>
  <si>
    <t>ENST00000253247,ENST00000581106,ENST00000581966,ENST00000581375,ENST00000584942,ENST00000580833,ENST00000580914,ENST00000577687,ENST00000583108,ENST00000583021,ENST00000584032</t>
  </si>
  <si>
    <t>ENSP00000253247,ENSP00000463662,ENSP00000463219,ENSP00000464015,ENSP00000463248</t>
  </si>
  <si>
    <t>ENST00000283109,ENST00000511293,ENST00000511012,ENST00000508447,ENST00000508991,ENST00000511920,ENST00000510384</t>
  </si>
  <si>
    <t>ENSP00000283109,ENSP00000421830,ENSP00000422772,ENSP00000420932,ENSP00000424325</t>
  </si>
  <si>
    <t>Homo sapiens sema domain, seven thrombospondin repeats (type 1 and type 1-like)</t>
  </si>
  <si>
    <t>ENST00000382496,ENST00000514923,ENST00000513968,ENST00000509486</t>
  </si>
  <si>
    <t>ENSP00000371936,ENSP00000421961</t>
  </si>
  <si>
    <t>NM_001193277,NM_033289,NM_000381,NM_033290,NM_001098624</t>
  </si>
  <si>
    <t>NP_001180206.1,NP_150631.1,NP_000372.1,NP_150632.1,NP_001092094.1</t>
  </si>
  <si>
    <t>ENST00000380779,ENST00000380780,ENST00000380785,ENST00000380787,ENST00000380782,ENST00000479925,ENST00000413894,ENST00000423614,ENST00000453318,ENST00000317552,ENST00000610939,ENST00000616003</t>
  </si>
  <si>
    <t>ENSP00000370156,ENSP00000370157,ENSP00000370162,ENSP00000370164,ENSP00000370159,ENSP00000391154,ENSP00000387771,ENSP00000414521,ENSP00000312678,ENSP00000483707,ENSP00000484712</t>
  </si>
  <si>
    <t>NM_207297,NM_207296,NM_207295,NM_207294,NM_207293,NM_207292,NM_021038</t>
  </si>
  <si>
    <t>NP_997180.1,NP_997179.1,NP_997178.1,NP_997177.1,NP_997176.1,NP_997175.1,NP_066368.2</t>
  </si>
  <si>
    <t>ENST00000477171,ENST00000355460,ENST00000461436,ENST00000495875,ENST00000493459,ENST00000324210,ENST00000459747,ENST00000460591,ENST00000466565,ENST00000498502,ENST00000485910,ENST00000463374,ENST00000465907,ENST00000492948,ENST00000485509,ENST00000464596,ENST00000460166,ENST00000478535,ENST00000497971,ENST00000282486,ENST00000545754,ENST00000357472,ENST00000324196,ENST00000282488</t>
  </si>
  <si>
    <t>ENSP00000347637,ENSP00000417741,ENSP00000419347,ENSP00000319429,ENSP00000417169,ENSP00000420680,ENSP00000420327,ENSP00000418427,ENSP00000418108,ENSP00000417630,ENSP00000420103,ENSP00000418876,ENSP00000418109,ENSP00000418508,ENSP00000282486,ENSP00000437491,ENSP00000350064,ENSP00000319374,ENSP00000282488</t>
  </si>
  <si>
    <t>ENST00000370761,ENST00000339249</t>
  </si>
  <si>
    <t>ENSP00000359797,ENSP00000339585</t>
  </si>
  <si>
    <t>NM_024612,NM_001166301</t>
  </si>
  <si>
    <t>NP_078888.4,NP_001159773.1</t>
  </si>
  <si>
    <t>ENST00000251241,ENST00000580218,ENST00000577596,ENST00000425628,ENST00000584385,ENST00000580030,ENST00000538926,ENST00000583439,ENST00000578204,ENST00000577549</t>
  </si>
  <si>
    <t>ENSP00000251241,ENSP00000462702,ENSP00000462246,ENSP00000388749,ENSP00000463025,ENSP00000462686,ENSP00000437958</t>
  </si>
  <si>
    <t>ENST00000369443,ENST00000491626,ENST00000369442,ENST00000464026,ENST00000493555,ENST00000494224</t>
  </si>
  <si>
    <t>ENSP00000358451,ENSP00000358450</t>
  </si>
  <si>
    <t>ENST00000485498,ENST00000368576,ENST00000368573,ENST00000471919</t>
  </si>
  <si>
    <t>ENSP00000357565,ENSP00000357562</t>
  </si>
  <si>
    <t>NM_001143887,NM_004236</t>
  </si>
  <si>
    <t>NP_001137359.1,NP_004227.1</t>
  </si>
  <si>
    <t>ENST00000560240,ENST00000388901,ENST00000299259,ENST00000542928,ENST00000558843,ENST00000561248,ENST00000559016,ENST00000558545</t>
  </si>
  <si>
    <t>ENSP00000453546,ENSP00000373553,ENSP00000299259,ENSP00000443664,ENSP00000452944,ENSP00000453412</t>
  </si>
  <si>
    <t>Homo sapiens ceroid-lipofuscinosis, neuronal 5 (CLN5)</t>
  </si>
  <si>
    <t>ENST00000377453,ENST00000616833,ENST00000485938</t>
  </si>
  <si>
    <t>ENSP00000366673,ENSP00000479547,ENSP00000482959</t>
  </si>
  <si>
    <t>ENST00000367696,ENST00000367694,ENST00000479099,ENST00000531594,ENST00000484867,ENST00000258349</t>
  </si>
  <si>
    <t>ENSP00000356669,ENSP00000356667,ENSP00000258349</t>
  </si>
  <si>
    <t>NM_001161407,NM_019080</t>
  </si>
  <si>
    <t>NP_001154879.1,NP_061953.2</t>
  </si>
  <si>
    <t>ENST00000218652,ENST00000487865,ENST00000465762,ENST00000620924,ENST00000494647,ENST00000612570</t>
  </si>
  <si>
    <t>ENSP00000218652,ENSP00000419200,ENSP00000419776,ENSP00000480881,ENSP00000480798</t>
  </si>
  <si>
    <t>Homo sapiens general transcription factor IIH, polypeptide 3, 34kDa (GTF2H3)</t>
  </si>
  <si>
    <t>NM_001271868,NM_001271867,NM_001271866,NM_001516</t>
  </si>
  <si>
    <t>NP_001258797.1,NP_001258796.1,NP_001258795.1,NP_001507.2</t>
  </si>
  <si>
    <t>ENST00000542279,ENST00000543005,ENST00000537368,ENST00000539994,ENST00000538845,ENST00000228955,ENST00000543341,ENST00000537695,ENST00000536375,ENST00000543415,ENST00000538533,ENST00000543154,ENST00000539429,ENST00000618160</t>
  </si>
  <si>
    <t>ENSP00000439121,ENSP00000446429,ENSP00000446097,ENSP00000228955,ENSP00000445162,ENSP00000441894,ENSP00000440482,ENSP00000442977,ENSP00000438435,ENSP00000481711</t>
  </si>
  <si>
    <t>NM_007358,NM_001164393,NM_001164392,NM_001164391</t>
  </si>
  <si>
    <t>NP_031384.1,NP_001157865.1,NP_001157864.1,NP_001157863.1</t>
  </si>
  <si>
    <t>ENST00000370298,ENST00000474314,ENST00000473430,ENST00000494963,ENST00000471953,ENST00000370303,ENST00000467953,ENST00000497976,ENST00000468457,ENST00000476037,ENST00000487263,ENST00000489480,ENST00000540243,ENST00000545708</t>
  </si>
  <si>
    <t>ENSP00000359321,ENSP00000359326,ENSP00000443295,ENSP00000444962</t>
  </si>
  <si>
    <t>Homo sapiens phospholipase D family, member 6 (PLD6)</t>
  </si>
  <si>
    <t>ENST00000303538,ENST00000507766,ENST00000507020,ENST00000503696,ENST00000503396,ENST00000513798,ENST00000512643,ENST00000503867,ENST00000508625,ENST00000506262</t>
  </si>
  <si>
    <t>ENSP00000303427,ENSP00000424510,ENSP00000426749,ENSP00000424531,ENSP00000425386</t>
  </si>
  <si>
    <t>NR_003104,NR_003103,NR_003102,NM_015450,NM_001042594</t>
  </si>
  <si>
    <t>-,-,-,NP_056265.2,NP_001036059.1</t>
  </si>
  <si>
    <t>ENST00000430927,ENST00000357628,ENST00000436534,ENST00000609106,ENST00000607932,ENST00000608057,ENST00000608200,ENST00000466483,ENST00000610141,ENST00000608126,ENST00000487564,ENST00000429326,ENST00000446993,ENST00000609702,ENST00000608437,ENST00000608261,ENST00000461288,ENST00000464453,ENST00000393329</t>
  </si>
  <si>
    <t>ENSP00000397632,ENSP00000350249,ENSP00000416820,ENSP00000476981,ENSP00000476506,ENSP00000476371,ENSP00000477320,ENSP00000476673,ENSP00000476290,ENSP00000403088,ENSP00000388921,ENSP00000477258,ENSP00000377002</t>
  </si>
  <si>
    <t>ENST00000303469,ENST00000310392,ENST00000454472</t>
  </si>
  <si>
    <t>ENSP00000307077,ENSP00000307975,ENSP00000402305</t>
  </si>
  <si>
    <t>ENST00000482253,ENST00000609116,ENST00000460706,ENST00000370198,ENST00000370197,ENST00000476419,ENST00000426398,ENST00000459735,ENST00000476783,ENST00000492905,ENST00000462433</t>
  </si>
  <si>
    <t>ENSP00000477024,ENSP00000359217,ENSP00000359216,ENSP00000412788</t>
  </si>
  <si>
    <t>NM_001017416,NM_001017415,NM_003368</t>
  </si>
  <si>
    <t>NP_001017416.1,NP_001017415.1,NP_003359.3</t>
  </si>
  <si>
    <t>ENST00000452143,ENST00000442679,ENST00000339950,ENST00000371146</t>
  </si>
  <si>
    <t>ENSP00000403662,ENSP00000387986,ENSP00000343526,ENSP00000360188</t>
  </si>
  <si>
    <t>NM_001142568,NM_020235</t>
  </si>
  <si>
    <t>NP_001136040.1,NP_064620.2</t>
  </si>
  <si>
    <t>ENST00000415149,ENST00000402543,ENST00000325805,ENST00000474137,ENST00000485939,ENST00000427402,ENST00000416476,ENST00000454540,ENST00000431630,ENST00000449335,ENST00000456817,ENST00000458458,ENST00000456419,ENST00000402163,ENST00000406780,ENST00000413213,ENST00000449271,ENST00000425868,ENST00000449213,ENST00000457496,ENST00000429270,ENST00000472032,ENST00000497629,ENST00000473542,ENST00000443253,ENST00000458347</t>
  </si>
  <si>
    <t>ENSP00000408358,ENSP00000385317,ENSP00000319974,ENSP00000413320,ENSP00000403860,ENSP00000396373,ENSP00000392230,ENSP00000408297,ENSP00000400543,ENSP00000404654,ENSP00000413274,ENSP00000385518,ENSP00000385530,ENSP00000403806,ENSP00000406554,ENSP00000412390,ENSP00000407662,ENSP00000404943,ENSP00000414673,ENSP00000402372,ENSP00000401524</t>
  </si>
  <si>
    <t>ENST00000270001,ENST00000589280</t>
  </si>
  <si>
    <t>ENSP00000270001,ENSP00000466416</t>
  </si>
  <si>
    <t>ENST00000429544,ENST00000249910,ENST00000503197,ENST00000509828,ENST00000507208,ENST00000511009,ENST00000515266,ENST00000509587,ENST00000505883,ENST00000393278</t>
  </si>
  <si>
    <t>ENSP00000394080,ENSP00000249910,ENSP00000424873,ENSP00000422690,ENSP00000422327,ENSP00000376959</t>
  </si>
  <si>
    <t>ENST00000264735,ENST00000416012</t>
  </si>
  <si>
    <t>ENSP00000264735,ENSP00000414431</t>
  </si>
  <si>
    <t>ENST00000445273,ENST00000629751,ENST00000469538,ENST00000626866,ENST00000602786,ENST00000380405,ENST00000630972,ENST00000435381,ENST00000320027</t>
  </si>
  <si>
    <t>ENSP00000396090,ENSP00000473512,ENSP00000369768,ENSP00000487365,ENSP00000408991,ENSP00000318687</t>
  </si>
  <si>
    <t>NM_004509,NM_080424</t>
  </si>
  <si>
    <t>NP_004500.3,NP_536349.2</t>
  </si>
  <si>
    <t>NM_001256566,NM_004101</t>
  </si>
  <si>
    <t>NP_001243495.1,NP_004092.1</t>
  </si>
  <si>
    <t>ENST00000296641,ENST00000504899</t>
  </si>
  <si>
    <t>ENSP00000296641,ENSP00000426703</t>
  </si>
  <si>
    <t>ENST00000265081,ENST00000512531,ENST00000512258</t>
  </si>
  <si>
    <t>NM_016205,NR_036641</t>
  </si>
  <si>
    <t>NP_057289.1,-</t>
  </si>
  <si>
    <t>ENST00000502773,ENST00000274071,ENST00000504672,ENST00000506880,ENST00000422544,ENST00000510982,ENST00000511985,ENST00000512711,ENST00000513664</t>
  </si>
  <si>
    <t>ENSP00000422464,ENSP00000274071,ENSP00000424600,ENSP00000410048</t>
  </si>
  <si>
    <t>ENST00000513610,ENST00000515803,ENST00000505695,ENST00000513882,ENST00000506343,ENST00000512061,ENST00000510401,ENST00000508318,ENST00000511972,ENST00000502436,ENST00000507288,ENST00000274203</t>
  </si>
  <si>
    <t>ENSP00000421280,ENSP00000425051,ENSP00000421170,ENSP00000421309,ENSP00000426783,ENSP00000426664,ENSP00000274203</t>
  </si>
  <si>
    <t>ENST00000295025,ENST00000394479</t>
  </si>
  <si>
    <t>ENSP00000295025,ENSP00000377989</t>
  </si>
  <si>
    <t>ENST00000373233,ENST00000480022,ENST00000440697,ENST00000476641,ENST00000470470,ENST00000373222,ENST00000482596,ENST00000440647,ENST00000309279</t>
  </si>
  <si>
    <t>ENSP00000362330,ENSP00000404637,ENSP00000362319,ENSP00000392503,ENSP00000308684</t>
  </si>
  <si>
    <t>Homo sapiens solute carrier organic anion transporter family, member 1A2 (SLCO1A2)</t>
  </si>
  <si>
    <t>NM_021094,NM_134431</t>
  </si>
  <si>
    <t>NP_066580.1,NP_602307.1</t>
  </si>
  <si>
    <t>ENST00000307378,ENST00000544020,ENST00000458504,ENST00000544290,ENST00000480394,ENST00000463718,ENST00000413682,ENST00000422327,ENST00000453443,ENST00000473830,ENST00000421294,ENST00000450590,ENST00000435179,ENST00000445053,ENST00000421287,ENST00000416627,ENST00000430803</t>
  </si>
  <si>
    <t>ENSP00000305974,ENSP00000440154,ENSP00000394854,ENSP00000438348,ENSP00000403638,ENSP00000416190,ENSP00000409314,ENSP00000390572,ENSP00000407462,ENSP00000401195,ENSP00000409691,ENSP00000390672,ENSP00000392124,ENSP00000410338</t>
  </si>
  <si>
    <t>NM_152549,NM_001040440</t>
  </si>
  <si>
    <t>NP_689762.2,NP_001035530.1</t>
  </si>
  <si>
    <t>ENST00000379611,ENST00000512261,ENST00000506442,ENST00000395557,ENST00000502975,ENST00000513730,ENST00000503027</t>
  </si>
  <si>
    <t>ENSP00000368931,ENSP00000423712,ENSP00000424876,ENSP00000378925</t>
  </si>
  <si>
    <t>NM_001146282,NM_003136</t>
  </si>
  <si>
    <t>NP_001139754.1,NP_003127.1</t>
  </si>
  <si>
    <t>ENST00000556994,ENST00000554803,ENST00000555746,ENST00000553544,ENST00000555317,ENST00000555557,ENST00000556380,ENST00000555535,ENST00000553923,ENST00000556445,ENST00000556992,ENST00000546080,ENST00000216774,ENST00000630962</t>
  </si>
  <si>
    <t>ENSP00000451818,ENSP00000451037,ENSP00000451647,ENSP00000451775,ENSP00000451313,ENSP00000440629,ENSP00000216774,ENSP00000486764</t>
  </si>
  <si>
    <t>NM_001008224,NM_018003</t>
  </si>
  <si>
    <t>NP_001008225.1,NP_060473.2</t>
  </si>
  <si>
    <t>ENST00000322954,ENST00000379983,ENST00000560441,ENST00000559206,ENST00000560831,ENST00000539319,ENST00000558758,ENST00000559290,ENST00000558308,ENST00000560523,ENST00000559156,ENST00000560951,ENST00000559183,ENST00000560167</t>
  </si>
  <si>
    <t>ENSP00000314556,ENSP00000369319,ENSP00000454018,ENSP00000438667,ENSP00000453865,ENSP00000453616</t>
  </si>
  <si>
    <t>ENST00000498240,ENST00000575234,ENST00000574298,ENST00000571101,ENST00000575812,ENST00000573828,ENST00000572999,ENST00000575253,ENST00000617839,ENST00000612186</t>
  </si>
  <si>
    <t>ENSP00000459566,ENSP00000459707,ENSP00000482769,ENSP00000483325</t>
  </si>
  <si>
    <t>NM_001256358,NM_005975</t>
  </si>
  <si>
    <t>NP_001243287.1,NP_005966.1</t>
  </si>
  <si>
    <t>ENST00000542869,ENST00000217185</t>
  </si>
  <si>
    <t>ENSP00000442460,ENSP00000217185</t>
  </si>
  <si>
    <t>NM_001243194,NM_014937</t>
  </si>
  <si>
    <t>NP_001230123.1,NP_055752.1</t>
  </si>
  <si>
    <t>ENST00000361976,ENST00000369081,ENST00000631485,ENST00000369080,ENST00000631572,ENST00000631555,ENST00000490818</t>
  </si>
  <si>
    <t>ENSP00000354519,ENSP00000488052,ENSP00000358076,ENSP00000488726,ENSP00000488905,ENSP00000487706</t>
  </si>
  <si>
    <t>Homo sapiens bone morphogenetic protein receptor, type II (serine/threonine kinase)</t>
  </si>
  <si>
    <t>ENST00000374580,ENST00000374574,ENST00000479069</t>
  </si>
  <si>
    <t>ENSP00000363708,ENSP00000363702</t>
  </si>
  <si>
    <t>Homo sapiens potassium channel, voltage gated Shal related subfamily D, member 1 (KCND1)</t>
  </si>
  <si>
    <t>ENST00000376477,ENST00000218176,ENST00000419374</t>
  </si>
  <si>
    <t>ENSP00000365660,ENSP00000218176,ENSP00000413989</t>
  </si>
  <si>
    <t>ENST00000229330,ENST00000544223,ENST00000550444,ENST00000547194,ENST00000550335,ENST00000552343</t>
  </si>
  <si>
    <t>ENSP00000229330,ENSP00000442942,ENSP00000447952</t>
  </si>
  <si>
    <t>ENST00000366932,ENST00000491428</t>
  </si>
  <si>
    <t>Homo sapiens cadherin 18, type 2 (CDH18)</t>
  </si>
  <si>
    <t>NM_001167667,NM_004934</t>
  </si>
  <si>
    <t>NP_001161139.1,NP_004925.1</t>
  </si>
  <si>
    <t>ENST00000510297,ENST00000382275,ENST00000507958,ENST00000506372,ENST00000502796,ENST00000515257,ENST00000511273,ENST00000508350,ENST00000511423,ENST00000507632,ENST00000503132,ENST00000274170</t>
  </si>
  <si>
    <t>ENSP00000371710,ENSP00000425093,ENSP00000424931,ENSP00000422138,ENSP00000427383,ENSP00000425854,ENSP00000274170</t>
  </si>
  <si>
    <t>Homo sapiens Rho-associated, coiled-coil containing protein kinase 2 (ROCK2)</t>
  </si>
  <si>
    <t>ENST00000315872,ENST00000401753,ENST00000493096,ENST00000460262,ENST00000261535,ENST00000484951,ENST00000431087,ENST00000462366,ENST00000616279</t>
  </si>
  <si>
    <t>ENSP00000317985,ENSP00000385509,ENSP00000261535,ENSP00000395957,ENSP00000481789</t>
  </si>
  <si>
    <t>ENST00000264499,ENST00000507814,ENST00000506636,ENST00000508536,ENST00000505692,ENST00000502444</t>
  </si>
  <si>
    <t>ENSP00000264499,ENSP00000423250,ENSP00000423626</t>
  </si>
  <si>
    <t>Homo sapiens solute carrier family 6, member 16 (SLC6A16)</t>
  </si>
  <si>
    <t>ENST00000335875,ENST00000454748,ENST00000598828,ENST00000598221,ENST00000594180,ENST00000597969,ENST00000594917</t>
  </si>
  <si>
    <t>ENSP00000338627,ENSP00000404022,ENSP00000469885,ENSP00000470623,ENSP00000472752,ENSP00000472191</t>
  </si>
  <si>
    <t>Homo sapiens anillin, actin binding protein (ANLN)</t>
  </si>
  <si>
    <t>ENST00000265748,ENST00000396068,ENST00000424865,ENST00000418118,ENST00000460598,ENST00000429082,ENST00000441696,ENST00000452877,ENST00000495714,ENST00000428612,ENST00000446635,ENST00000457743,ENST00000491782</t>
  </si>
  <si>
    <t>ENSP00000265748,ENSP00000379380,ENSP00000404979,ENSP00000406584,ENSP00000398712,ENSP00000397465,ENSP00000413441,ENSP00000413522,ENSP00000400777,ENSP00000399553</t>
  </si>
  <si>
    <t>Homo sapiens coagulation factor III (thromboplastin, tissue factor)</t>
  </si>
  <si>
    <t>NM_001178096,NM_001993</t>
  </si>
  <si>
    <t>NP_001171567.1,NP_001984.1</t>
  </si>
  <si>
    <t>ENST00000334047,ENST00000370207,ENST00000478217,ENST00000480356</t>
  </si>
  <si>
    <t>ENSP00000334145,ENSP00000359226</t>
  </si>
  <si>
    <t>ENST00000535593,ENST00000542038,ENST00000545113,ENST00000540141,ENST00000229314,ENST00000545093,ENST00000539663,ENST00000539025,ENST00000542194,ENST00000631252</t>
  </si>
  <si>
    <t>ENSP00000446231,ENSP00000437351,ENSP00000229314,ENSP00000440666,ENSP00000446405,ENSP00000441878,ENSP00000486919</t>
  </si>
  <si>
    <t>NM_004392,NM_080760,NM_080759</t>
  </si>
  <si>
    <t>NP_004383.4,NP_542938.3,NP_542937.3</t>
  </si>
  <si>
    <t>ENST00000613252,ENST00000619232,ENST00000611519,ENST00000620444</t>
  </si>
  <si>
    <t>ENSP00000482245,ENSP00000482797,ENSP00000482493,ENSP00000481551</t>
  </si>
  <si>
    <t>ENST00000316005,ENST00000370521,ENST00000436111,ENST00000449189,ENST00000495119,ENST00000370513,ENST00000370505</t>
  </si>
  <si>
    <t>ENSP00000317851,ENSP00000359552,ENSP00000401125,ENSP00000389076,ENSP00000359544,ENSP00000359536</t>
  </si>
  <si>
    <t>NM_001127236,NM_001127235,NM_022913,NM_001203246</t>
  </si>
  <si>
    <t>NP_001120708.1,NP_001120707.2,NP_075064.1,NP_001190175.1</t>
  </si>
  <si>
    <t>ENST00000424459,ENST00000514387,ENST00000506184,ENST00000511209,ENST00000264779,ENST00000513732,ENST00000513524,ENST00000309096,ENST00000515484</t>
  </si>
  <si>
    <t>ENSP00000401596,ENSP00000421709,ENSP00000421202,ENSP00000422337,ENSP00000264779</t>
  </si>
  <si>
    <t>ENST00000552259,ENST00000331366,ENST00000538596,ENST00000546603,ENST00000360449,ENST00000547417,ENST00000549842,ENST00000551855,ENST00000550863</t>
  </si>
  <si>
    <t>ENSP00000329748,ENSP00000439237,ENSP00000353633,ENSP00000447761</t>
  </si>
  <si>
    <t>ENST00000395925,ENST00000479210,ENST00000464291,ENST00000448703,ENST00000437480,ENST00000428534</t>
  </si>
  <si>
    <t>ENSP00000379258,ENSP00000406135,ENSP00000407963</t>
  </si>
  <si>
    <t>ENST00000298355,ENST00000338969,ENST00000555170,ENST00000557456,ENST00000555933,ENST00000360392</t>
  </si>
  <si>
    <t>ENSP00000298355,ENSP00000342970,ENSP00000353561</t>
  </si>
  <si>
    <t>NM_001204077,NM_004788</t>
  </si>
  <si>
    <t>NP_001191006.1,NP_004779.2</t>
  </si>
  <si>
    <t>ENST00000252108,ENST00000431736,ENST00000545354</t>
  </si>
  <si>
    <t>ENSP00000252108,ENSP00000387362,ENSP00000438918</t>
  </si>
  <si>
    <t>ENST00000019317,ENST00000585015,ENST00000383432,ENST00000458039,ENST00000577221</t>
  </si>
  <si>
    <t>ENSP00000019317,ENSP00000463693,ENSP00000372924,ENSP00000411556,ENSP00000462549</t>
  </si>
  <si>
    <t>ENST00000490029,ENST00000373062,ENST00000462812,ENST00000479255,ENST00000538069,ENST00000469191,ENST00000489146,ENST00000463351,ENST00000488496</t>
  </si>
  <si>
    <t>ENSP00000362153,ENSP00000441288</t>
  </si>
  <si>
    <t>NM_001261447,NM_001261448,NM_201592,NM_201591,NM_005277,NR_048571</t>
  </si>
  <si>
    <t>NP_001248376.1,NP_001248377.1,NP_963886.1,NP_963885.1,NP_005268.1,-</t>
  </si>
  <si>
    <t>ENST00000280187,ENST00000507080,ENST00000393658,ENST00000506894,ENST00000515090,ENST00000506219,ENST00000508323,ENST00000503397,ENST00000512610,ENST00000502754,ENST00000507520,ENST00000513667,ENST00000512509,ENST00000505561,ENST00000505375,ENST00000513365,ENST00000509865,ENST00000512897,ENST00000507540,ENST00000505304,ENST00000503563</t>
  </si>
  <si>
    <t>ENSP00000280187,ENSP00000377268,ENSP00000421578,ENSP00000423984,ENSP00000422959,ENSP00000426984,ENSP00000426821,ENSP00000424075,ENSP00000421373,ENSP00000424443,ENSP00000425409,ENSP00000424125,ENSP00000423122,ENSP00000422712,ENSP00000425925,ENSP00000421407,ENSP00000425463,ENSP00000426352</t>
  </si>
  <si>
    <t>NM_101395,NM_130438,NM_130436,NM_001396</t>
  </si>
  <si>
    <t>NP_567824.1,NP_569122.1,NP_569120.1,NP_001387.2</t>
  </si>
  <si>
    <t>ENST00000608928,ENST00000462274,ENST00000338785,ENST00000455097,ENST00000426672,ENST00000339659,ENST00000398960,ENST00000498351,ENST00000398956</t>
  </si>
  <si>
    <t>ENSP00000342690,ENSP00000398483,ENSP00000412269,ENSP00000340373,ENSP00000381932,ENSP00000381929</t>
  </si>
  <si>
    <t>Homo sapiens ATP-binding cassette, sub-family D (ALD)</t>
  </si>
  <si>
    <t>ENST00000370214,ENST00000315713,ENST00000468860,ENST00000493416,ENST00000484213,ENST00000464165</t>
  </si>
  <si>
    <t>ENSP00000359233,ENSP00000326880</t>
  </si>
  <si>
    <t>Homo sapiens platelet-activating factor acetylhydrolase 1b, regulatory subunit 1 (45kDa)</t>
  </si>
  <si>
    <t>ENST00000576586,ENST00000397195,ENST00000575477,ENST00000572915,ENST00000570400,ENST00000571289,ENST00000574816,ENST00000609078,ENST00000397193,ENST00000574468,ENST00000571495,ENST00000610190,ENST00000574213</t>
  </si>
  <si>
    <t>ENSP00000461087,ENSP00000380378,ENSP00000460258,ENSP00000460591</t>
  </si>
  <si>
    <t>Homo sapiens protein kinase, cAMP-dependent, regulatory, type II, beta (PRKAR2B)</t>
  </si>
  <si>
    <t>ENST00000265717,ENST00000393613,ENST00000488792</t>
  </si>
  <si>
    <t>NM_153186,NM_001256877,NM_001256876,NM_015158</t>
  </si>
  <si>
    <t>NP_694856.1,NP_001243806.1,NP_001243805.1,NP_055973.2</t>
  </si>
  <si>
    <t>ENST00000382303,ENST00000467541,ENST00000475690,ENST00000489369,ENST00000354485,ENST00000382297,ENST00000382293,ENST00000382289,ENST00000382286,ENST00000619269</t>
  </si>
  <si>
    <t>ENSP00000371740,ENSP00000371734,ENSP00000371730,ENSP00000371726,ENSP00000371723,ENSP00000477725</t>
  </si>
  <si>
    <t>ENST00000504521,ENST00000515810,ENST00000350721,ENST00000513291,ENST00000511016,ENST00000514393,ENST00000507620,ENST00000515863,ENST00000515149,ENST00000507148</t>
  </si>
  <si>
    <t>ENSP00000422553,ENSP00000421870,ENSP00000343741,ENSP00000424355,ENSP00000425897,ENSP00000426595</t>
  </si>
  <si>
    <t>ENST00000356151,ENST00000468776,ENST00000463280,ENST00000383715,ENST00000484288,ENST00000479241,ENST00000477308,ENST00000491164,ENST00000479134,ENST00000459676,ENST00000495557,ENST00000493474,ENST00000383716,ENST00000302779</t>
  </si>
  <si>
    <t>ENSP00000348472,ENSP00000417167,ENSP00000417903,ENSP00000373221,ENSP00000417915,ENSP00000419049,ENSP00000420403,ENSP00000418831,ENSP00000418202,ENSP00000476179,ENSP00000418376,ENSP00000418836,ENSP00000373222,ENSP00000305045</t>
  </si>
  <si>
    <t>Homo sapiens discs, large (Drosophila)</t>
  </si>
  <si>
    <t>NM_001146015,NM_014750</t>
  </si>
  <si>
    <t>NP_001139487.1,NP_055565.3</t>
  </si>
  <si>
    <t>ENST00000395425,ENST00000247191,ENST00000554007,ENST00000557645,ENST00000554067</t>
  </si>
  <si>
    <t>ENSP00000378815,ENSP00000247191,ENSP00000451747,ENSP00000452168</t>
  </si>
  <si>
    <t>NM_004683,NM_152869</t>
  </si>
  <si>
    <t>NP_004674.1,NP_690608.1</t>
  </si>
  <si>
    <t>ENST00000352078,ENST00000469346,ENST00000336169,ENST00000475448,ENST00000457380,ENST00000397180</t>
  </si>
  <si>
    <t>ENSP00000253303,ENSP00000338400,ENSP00000406568,ENSP00000380365</t>
  </si>
  <si>
    <t>ENST00000322723,ENST00000461347,ENST00000356936,ENST00000466274,ENST00000494618,ENST00000454824,ENST00000417652,ENST00000453992,ENST00000436894,ENST00000484328</t>
  </si>
  <si>
    <t>ENSP00000318195,ENSP00000349410,ENSP00000401620,ENSP00000392747,ENSP00000413775,ENSP00000401322</t>
  </si>
  <si>
    <t>NM_001033605,NM_001033604,NM_198428,NM_014451</t>
  </si>
  <si>
    <t>NP_001028777.1,NP_001028776.1,NP_940820.1,NP_055266.2</t>
  </si>
  <si>
    <t>ENST00000432983,ENST00000242067,ENST00000350941,ENST00000396127,ENST00000355070,ENST00000465037,ENST00000433714,ENST00000482941,ENST00000442858,ENST00000434373,ENST00000627264,ENST00000496029,ENST00000495426,ENST00000489708,ENST00000498189,ENST00000425508</t>
  </si>
  <si>
    <t>ENSP00000415794,ENSP00000242067,ENSP00000313122,ENSP00000379433,ENSP00000347182,ENSP00000412159,ENSP00000388646,ENSP00000388114,ENSP00000485871,ENSP00000405151</t>
  </si>
  <si>
    <t>ENST00000297338,ENST00000523986,ENST00000517749,ENST00000518055,ENST00000520992,ENST00000517485,ENST00000523547,ENST00000519837,ENST00000522699,ENST00000519469</t>
  </si>
  <si>
    <t>ENSP00000297338,ENSP00000428513,ENSP00000430273,ENSP00000428003,ENSP00000429342,ENSP00000427923,ENSP00000430524,ENSP00000428158</t>
  </si>
  <si>
    <t>Homo sapiens family with sequence similarity 175, member B (FAM175B)</t>
  </si>
  <si>
    <t>NR_028034,NR_028036,NR_028035,NR_028033,NM_152872,NM_152871,NM_000043</t>
  </si>
  <si>
    <t>-,-,-,-,NP_690611.1,NP_690610.1,NP_000034.1</t>
  </si>
  <si>
    <t>ENST00000355740,ENST00000352159,ENST00000484444,ENST00000357339,ENST00000488877,ENST00000494410,ENST00000479522,ENST00000492756,ENST00000355279,ENST00000460510,ENST00000477270,ENST00000313771,ENST00000466081,ENST00000371857,ENST00000494799,ENST00000487314,ENST00000626542,ENST00000615406,ENST00000612663</t>
  </si>
  <si>
    <t>ENSP00000347979,ENSP00000345601,ENSP00000420975,ENSP00000349896,ENSP00000425159,ENSP00000423755,ENSP00000424113,ENSP00000422453,ENSP00000347426,ENSP00000485876,ENSP00000484575,ENSP00000477997</t>
  </si>
  <si>
    <t>NM_006296,NM_001130483,NM_001130482,NM_001130481,NM_001130480</t>
  </si>
  <si>
    <t>NP_006287.2,NP_001123955.1,NP_001123954.1,NP_001123953.1,NP_001123952.1</t>
  </si>
  <si>
    <t>ENST00000435505,ENST00000417641,ENST00000478687,ENST00000463222,ENST00000340157,ENST00000432057,ENST00000440705,ENST00000428021,ENST00000412104</t>
  </si>
  <si>
    <t>ENSP00000408002,ENSP00000402375,ENSP00000342381,ENSP00000400006,ENSP00000398323,ENSP00000404961,ENSP00000404156</t>
  </si>
  <si>
    <t>Homo sapiens CD46 molecule, complement regulatory protein (CD46)</t>
  </si>
  <si>
    <t>NM_172352,NM_172359,NM_002389,NM_172350,NM_172361,NM_172353,NM_153826,NM_172351</t>
  </si>
  <si>
    <t>NP_758862.1,NP_758869.1,NP_002380.3,NP_758860.1,NP_758871.1,NP_758863.1,NP_722548.1,NP_758861.1</t>
  </si>
  <si>
    <t>ENST00000358170,ENST00000354848,ENST00000322918,ENST00000367042,ENST00000367041,ENST00000357714,ENST00000322875,ENST00000367047,ENST00000493796,ENST00000469535,ENST00000360212,ENST00000480003,ENST00000464082,ENST00000496723,ENST00000488596,ENST00000490278,ENST00000471987,ENST00000462968</t>
  </si>
  <si>
    <t>ENSP00000350893,ENSP00000346912,ENSP00000314664,ENSP00000356009,ENSP00000356008,ENSP00000350346,ENSP00000313875,ENSP00000356014,ENSP00000353342,ENSP00000418471,ENSP00000473449</t>
  </si>
  <si>
    <t>ENST00000254624,ENST00000522709,ENST00000520362,ENST00000519656,ENST00000519920,ENST00000523074,ENST00000521940</t>
  </si>
  <si>
    <t>ENSP00000254624,ENSP00000430512,ENSP00000428844,ENSP00000428086</t>
  </si>
  <si>
    <t>NM_001193425,NM_001193427,NM_001193426,NM_001193424,NM_024670,NR_034181</t>
  </si>
  <si>
    <t>NP_001180354.1,NP_001180356.1,NP_001180355.1,NP_001180353.1,NP_078946.1,-</t>
  </si>
  <si>
    <t>ENST00000378331,ENST00000433779,ENST00000378325,ENST00000354919,ENST00000313519,ENST00000420416,ENST00000412254,ENST00000358298</t>
  </si>
  <si>
    <t>ENSP00000367582,ENSP00000388968,ENSP00000367576,ENSP00000346997,ENSP00000319208,ENSP00000392201,ENSP00000388218,ENSP00000351046</t>
  </si>
  <si>
    <t>Homo sapiens exportin, tRNA (XPOT)</t>
  </si>
  <si>
    <t>ENST00000332707,ENST00000540203,ENST00000400935,ENST00000542958,ENST00000538086,ENST00000541842</t>
  </si>
  <si>
    <t>ENSP00000327821,ENSP00000441376,ENSP00000383722,ENSP00000444345</t>
  </si>
  <si>
    <t>NM_001127715,NM_139244</t>
  </si>
  <si>
    <t>NP_001121187.1,NP_640337.3</t>
  </si>
  <si>
    <t>ENST00000367481,ENST00000321680,ENST00000367480,ENST00000367475,ENST00000392291,ENST00000443556,ENST00000546097</t>
  </si>
  <si>
    <t>ENSP00000356451,ENSP00000321826,ENSP00000356450,ENSP00000356445,ENSP00000376112,ENSP00000441479</t>
  </si>
  <si>
    <t>NM_001197320,NM_182763,NM_021960</t>
  </si>
  <si>
    <t>NP_001184249.1,NP_877495.1,NP_068779.1</t>
  </si>
  <si>
    <t>ENST00000369026,ENST00000464132,ENST00000307940,ENST00000620947</t>
  </si>
  <si>
    <t>ENSP00000358022,ENSP00000309973,ENSP00000477624</t>
  </si>
  <si>
    <t>Homo sapiens ATPase, H+ transporting, lysosomal 42kDa, V1 subunit C1 (ATP6V1C1)</t>
  </si>
  <si>
    <t>ENST00000518857,ENST00000395862,ENST00000521514,ENST00000518738,ENST00000521671,ENST00000518959</t>
  </si>
  <si>
    <t>ENSP00000428204,ENSP00000379203,ENSP00000430129,ENSP00000430282</t>
  </si>
  <si>
    <t>NM_001079670,NM_030925</t>
  </si>
  <si>
    <t>NP_001073138.1,NP_112187.2</t>
  </si>
  <si>
    <t>ENST00000355854,ENST00000409308,ENST00000409130,ENST00000425242,ENST00000410043,ENST00000457041,ENST00000413278,ENST00000409082,ENST00000476943,ENST00000470410,ENST00000610540,ENST00000347776</t>
  </si>
  <si>
    <t>ENSP00000348113,ENSP00000386375,ENSP00000387245,ENSP00000416719,ENSP00000386328,ENSP00000409253,ENSP00000404028,ENSP00000386979,ENSP00000479669,ENSP00000261669</t>
  </si>
  <si>
    <t>Homo sapiens deafness, autosomal recessive 59 (DFNB59)</t>
  </si>
  <si>
    <t>ENST00000409117,ENST00000437056,ENST00000375129,ENST00000442710,ENST00000444615,ENST00000605419</t>
  </si>
  <si>
    <t>ENSP00000386647,ENSP00000364271,ENSP00000410776,ENSP00000399579</t>
  </si>
  <si>
    <t>ENST00000222584,ENST00000432066,ENST00000448246,ENST00000440636</t>
  </si>
  <si>
    <t>ENSP00000222584,ENSP00000393623,ENSP00000390817</t>
  </si>
  <si>
    <t>Homo sapiens ATPase, class VI, type 11C (ATP11C)</t>
  </si>
  <si>
    <t>NM_001010986,NM_173694</t>
  </si>
  <si>
    <t>NP_001010986.1,NP_775965.2</t>
  </si>
  <si>
    <t>ENST00000370557,ENST00000433868,ENST00000327569,ENST00000361648,ENST00000450801,ENST00000460773,ENST00000471746,ENST00000422228,ENST00000485626</t>
  </si>
  <si>
    <t>ENSP00000359588,ENSP00000397923,ENSP00000332756,ENSP00000355165,ENSP00000391259,ENSP00000394573</t>
  </si>
  <si>
    <t>ENST00000455611,ENST00000454497,ENST00000447906,ENST00000509517,ENST00000514973,ENST00000505976,ENST00000509620,ENST00000504501,ENST00000509985,ENST00000504331</t>
  </si>
  <si>
    <t>ENSP00000409279,ENSP00000395487,ENSP00000425972,ENSP00000424192,ENSP00000423453</t>
  </si>
  <si>
    <t>ENST00000304858,ENST00000504328,ENST00000514825,ENST00000617819,ENST00000615899,ENST00000617074</t>
  </si>
  <si>
    <t>ENSP00000302961,ENSP00000480688,ENSP00000478102,ENSP00000481686</t>
  </si>
  <si>
    <t>ENST00000407426,ENST00000434238,ENST00000440983,ENST00000296126,ENST00000466067,ENST00000446643</t>
  </si>
  <si>
    <t>ENSP00000384302,ENSP00000390363,ENSP00000415355,ENSP00000296126</t>
  </si>
  <si>
    <t>ENST00000402038,ENST00000614063,ENST00000610922,ENST00000616448,ENST00000492350,ENST00000611974,ENST00000497481</t>
  </si>
  <si>
    <t>ENSP00000384408,ENSP00000480645,ENSP00000481064,ENSP00000484285</t>
  </si>
  <si>
    <t>Homo sapiens alkB, alkylation repair homolog 8 (E. coli)</t>
  </si>
  <si>
    <t>ENST00000428149,ENST00000429370,ENST00000389568,ENST00000260318,ENST00000417449,ENST00000393100,ENST00000530933</t>
  </si>
  <si>
    <t>ENSP00000415885,ENSP00000391225,ENSP00000374219,ENSP00000260318,ENSP00000397673,ENSP00000376812</t>
  </si>
  <si>
    <t>NM_153427,NM_153426,NM_001204399,NM_001204398,NM_001204397,NM_000325</t>
  </si>
  <si>
    <t>NP_700476.1,NP_700475.1,NP_001191328.1,NP_001191327.1,NP_001191326.1,NP_000316.2</t>
  </si>
  <si>
    <t>ENST00000306732,ENST00000394598,ENST00000355080,ENST00000354925,ENST00000607868,ENST00000394595,ENST00000511837,ENST00000556049,ENST00000511990,ENST00000557119,ENST00000614423,ENST00000613094,ENST00000616641</t>
  </si>
  <si>
    <t>ENSP00000304169,ENSP00000378097,ENSP00000347192,ENSP00000347004,ENSP00000378095,ENSP00000421454,ENSP00000424142,ENSP00000475617,ENSP00000481951,ENSP00000484763,ENSP00000484909</t>
  </si>
  <si>
    <t>ENST00000261900,ENST00000417344,ENST00000551989,ENST00000550457,ENST00000618666</t>
  </si>
  <si>
    <t>ENSP00000261900,ENSP00000399845,ENSP00000481035</t>
  </si>
  <si>
    <t>ENST00000296632,ENST00000512160,ENST00000511137,ENST00000502931,ENST00000505803,ENST00000502322,ENST00000509887,ENST00000511569,ENST00000511436,ENST00000510346,ENST00000455172,ENST00000508215</t>
  </si>
  <si>
    <t>ENSP00000296632,ENSP00000426148,ENSP00000425014,ENSP00000427478,ENSP00000427639,ENSP00000425308,ENSP00000407063</t>
  </si>
  <si>
    <t>NM_153355,NM_001040214</t>
  </si>
  <si>
    <t>NP_699186.2,NP_001035304.1</t>
  </si>
  <si>
    <t>ENST00000476571,ENST00000368416,ENST00000368417,ENST00000546092,ENST00000545433</t>
  </si>
  <si>
    <t>ENSP00000357401,ENSP00000357402,ENSP00000440287,ENSP00000437798</t>
  </si>
  <si>
    <t>Homo sapiens RAB23, member RAS oncogene family (RAB23)</t>
  </si>
  <si>
    <t>NM_183227,NM_016277</t>
  </si>
  <si>
    <t>NP_899050.1,NP_057361.3</t>
  </si>
  <si>
    <t>ENST00000317483,ENST00000468148</t>
  </si>
  <si>
    <t>ENSP00000320413,ENSP00000417610</t>
  </si>
  <si>
    <t>ENST00000492714,ENST00000446845,ENST00000311806,ENST00000426620,ENST00000483695,ENST00000467900</t>
  </si>
  <si>
    <t>ENSP00000415851,ENSP00000311713,ENSP00000398356</t>
  </si>
  <si>
    <t>NM_001145335,NM_173469</t>
  </si>
  <si>
    <t>NP_001138807.1,NP_775740.1</t>
  </si>
  <si>
    <t>ENST00000267938,ENST00000569423,ENST00000561723,ENST00000561851,ENST00000562635,ENST00000426727,ENST00000567921,ENST00000563966</t>
  </si>
  <si>
    <t>ENSP00000267938,ENSP00000456324,ENSP00000458006,ENSP00000456229,ENSP00000400960,ENSP00000454742</t>
  </si>
  <si>
    <t>Homo sapiens TBC1 domain family, member 31 (TBC1D31)</t>
  </si>
  <si>
    <t>NM_145647,NM_001145088</t>
  </si>
  <si>
    <t>NP_663622.2,NP_001138560.1</t>
  </si>
  <si>
    <t>ENST00000520368,ENST00000287380,ENST00000519418,ENST00000327098,ENST00000522420,ENST00000518099,ENST00000521676,ENST00000524307,ENST00000522276,ENST00000518684,ENST00000521980,ENST00000521914,ENST00000518805,ENST00000518577,ENST00000518866</t>
  </si>
  <si>
    <t>ENSP00000428486,ENSP00000287380,ENSP00000430927,ENSP00000312701,ENSP00000429334,ENSP00000430628,ENSP00000440772,ENSP00000428891,ENSP00000427848,ENSP00000432525,ENSP00000429494,ENSP00000432064</t>
  </si>
  <si>
    <t>ENST00000366639,ENST00000413309,ENST00000602825,ENST00000476913,ENST00000475168</t>
  </si>
  <si>
    <t>ENSP00000355599,ENSP00000397537</t>
  </si>
  <si>
    <t>ENST00000580511,ENST00000580854,ENST00000369122,ENST00000369120</t>
  </si>
  <si>
    <t>NM_001146155,NM_001146154,NM_152444</t>
  </si>
  <si>
    <t>NP_001139627.1,NP_001139626.1,NP_689657.1</t>
  </si>
  <si>
    <t>ENST00000555228,ENST00000555661,ENST00000555976,ENST00000553326,ENST00000267568,ENST00000556219,ENST00000553813</t>
  </si>
  <si>
    <t>ENSP00000450975,ENSP00000452280,ENSP00000267568,ENSP00000450824</t>
  </si>
  <si>
    <t>NM_001271985,NM_031307</t>
  </si>
  <si>
    <t>NP_001258914.1,NP_112597.3</t>
  </si>
  <si>
    <t>ENST00000530811,ENST00000534158,ENST00000529801,ENST00000227474,ENST00000613398</t>
  </si>
  <si>
    <t>ENSP00000432386,ENSP00000432272,ENSP00000437077,ENSP00000227474,ENSP00000481536</t>
  </si>
  <si>
    <t>NM_053036,NM_004885,NM_001144756</t>
  </si>
  <si>
    <t>NP_444264.1,NP_004876.2,NP_001138228.1</t>
  </si>
  <si>
    <t>ENST00000308744,ENST00000344413,ENST00000395999,ENST00000358749,ENST00000506359</t>
  </si>
  <si>
    <t>ENSP00000307822,ENSP00000340789,ENSP00000379321,ENSP00000351599</t>
  </si>
  <si>
    <t>NM_020245,NM_001007466</t>
  </si>
  <si>
    <t>NP_064630.2,NP_001007467.1</t>
  </si>
  <si>
    <t>ENST00000620026,ENST00000432358,ENST00000613994,ENST00000367097,ENST00000367094,ENST00000616856,ENST00000613390</t>
  </si>
  <si>
    <t>ENSP00000356064,ENSP00000356061,ENSP00000481804</t>
  </si>
  <si>
    <t>Homo sapiens potassium channel, inwardly rectifying subfamily J, member 8 (KCNJ8)</t>
  </si>
  <si>
    <t>ENST00000537950,ENST00000240662</t>
  </si>
  <si>
    <t>ENSP00000440012,ENSP00000240662</t>
  </si>
  <si>
    <t>ENST00000404338,ENST00000595822,ENST00000596593,ENST00000598548,ENST00000599284,ENST00000614079,ENST00000615647</t>
  </si>
  <si>
    <t>ENSP00000385720,ENSP00000483730,ENSP00000479487</t>
  </si>
  <si>
    <t>NM_014154,NM_213654</t>
  </si>
  <si>
    <t>NP_054873.2,NP_998819.1</t>
  </si>
  <si>
    <t>ENST00000481646,ENST00000469044,ENST00000491704,ENST00000461600,ENST00000466749,ENST00000358441,ENST00000489213,ENST00000461822,ENST00000485396,ENST00000471453,ENST00000470821,ENST00000471709,ENST00000463485,ENST00000468560,ENST00000470842,ENST00000470549,ENST00000469860,ENST00000460495,ENST00000486832,ENST00000466762,ENST00000464181,ENST00000494015,ENST00000538260</t>
  </si>
  <si>
    <t>ENSP00000420333,ENSP00000419413,ENSP00000417304,ENSP00000418074,ENSP00000417699,ENSP00000351221,ENSP00000418412,ENSP00000420706,ENSP00000417049,ENSP00000420440,ENSP00000418405,ENSP00000420719,ENSP00000417403,ENSP00000418457,ENSP00000419888,ENSP00000419473,ENSP00000417457,ENSP00000441592</t>
  </si>
  <si>
    <t>ENST00000512974,ENST00000296755,ENST00000504183,ENST00000513526,ENST00000511641,ENST00000504492</t>
  </si>
  <si>
    <t>ENSP00000426312,ENSP00000296755,ENSP00000427194,ENSP00000423444,ENSP00000423416</t>
  </si>
  <si>
    <t>NM_001007102,NM_032438</t>
  </si>
  <si>
    <t>NP_001007103.1,NP_115814.1</t>
  </si>
  <si>
    <t>ENST00000529410,ENST00000526087,ENST00000533560,ENST00000528385,ENST00000368139,ENST00000526019,ENST00000368136,ENST00000531313,ENST00000533890,ENST00000361794</t>
  </si>
  <si>
    <t>ENSP00000431962,ENSP00000436617,ENSP00000437185,ENSP00000433257,ENSP00000357121,ENSP00000436706,ENSP00000357118,ENSP00000354526</t>
  </si>
  <si>
    <t>NM_001269039,NM_007373</t>
  </si>
  <si>
    <t>NP_001255968.1,NP_031399.2</t>
  </si>
  <si>
    <t>ENST00000369452,ENST00000480155,ENST00000489390,ENST00000489783,ENST00000451838,ENST00000497305,ENST00000265277</t>
  </si>
  <si>
    <t>ENSP00000358464,ENSP00000408275,ENSP00000265277</t>
  </si>
  <si>
    <t>NM_001256576,NM_001256575,NM_001256574,NM_003633,NR_046318</t>
  </si>
  <si>
    <t>NP_001243505.1,NP_001243504.1,NP_001243503.1,NP_003624.1,-</t>
  </si>
  <si>
    <t>ENST00000302351,ENST00000510316,ENST00000509284,ENST00000508331,ENST00000509127,ENST00000537006,ENST00000618628</t>
  </si>
  <si>
    <t>ENSP00000306356,ENSP00000423804,ENSP00000422943,ENSP00000426889,ENSP00000446289,ENSP00000479101</t>
  </si>
  <si>
    <t>Homo sapiens ATPase, Ca++ transporting, type 2C, member 1 (ATP2C1)</t>
  </si>
  <si>
    <t>NM_001199179,NM_001199181,NM_001199184,NM_014382</t>
  </si>
  <si>
    <t>NP_001186108.1,NP_001186110.1,NP_001186113.1,NP_055197.2</t>
  </si>
  <si>
    <t>ENST00000505330,ENST00000504381,ENST00000507488,ENST00000509150,ENST00000510168,ENST00000508532,ENST00000504948,ENST00000513801,ENST00000505072,ENST00000509662,ENST00000328560,ENST00000428331,ENST00000359644,ENST00000422190,ENST00000508297,ENST00000504612,ENST00000513636,ENST00000515854,ENST00000514654,ENST00000504571,ENST00000508660,ENST00000510774,ENST00000507194,ENST00000533801</t>
  </si>
  <si>
    <t>ENSP00000423774,ENSP00000425320,ENSP00000421326,ENSP00000427461,ENSP00000424783,ENSP00000423330,ENSP00000422872,ENSP00000427625,ENSP00000426849,ENSP00000329664,ENSP00000395809,ENSP00000352665,ENSP00000402677,ENSP00000421261,ENSP00000425228,ENSP00000422890,ENSP00000422489,ENSP00000424930,ENSP00000427087,ENSP00000432956</t>
  </si>
  <si>
    <t>ENST00000448811,ENST00000416973,ENST00000426601,ENST00000409581,ENST00000337386,ENST00000423376,ENST00000423076,ENST00000409641,ENST00000434473,ENST00000484774</t>
  </si>
  <si>
    <t>ENSP00000388301,ENSP00000404104,ENSP00000397014,ENSP00000387089,ENSP00000336894,ENSP00000403243,ENSP00000395444,ENSP00000386682,ENSP00000390914</t>
  </si>
  <si>
    <t>NM_001104629,NM_018302</t>
  </si>
  <si>
    <t>NP_001098099.1,NP_060772.2</t>
  </si>
  <si>
    <t>ENST00000381980,ENST00000508175,ENST00000284437</t>
  </si>
  <si>
    <t>ENSP00000371408,ENSP00000421537,ENSP00000284437</t>
  </si>
  <si>
    <t>Homo sapiens MOB family member 4, phocein (MOB4)|Homo sapiens HSPE1-MOB4 readthrough (HSPE1-MOB4)</t>
  </si>
  <si>
    <t>NM_001204094,NM_015387,NM_001100819,NM_199482|NM_001202485</t>
  </si>
  <si>
    <t>NP_001191023.1,NP_056202.2,NP_001094289.1,NP_955776.1|NP_001189414.1</t>
  </si>
  <si>
    <t>ENST00000233892,ENST00000409916,ENST00000323303,ENST00000448447,ENST00000497443,ENST00000417097,ENST00000409355,ENST00000409360|ENST00000604458</t>
  </si>
  <si>
    <t>ENSP00000233892,ENSP00000387240,ENSP00000315702,ENSP00000405354,ENSP00000397052,ENSP00000387043,ENSP00000387289|ENSP00000474534</t>
  </si>
  <si>
    <t>Homo sapiens membrane protein, palmitoylated 5 (MAGUK p55 subfamily member 5)</t>
  </si>
  <si>
    <t>NM_022474,NM_001256550</t>
  </si>
  <si>
    <t>NP_071919.2,NP_001243479.1</t>
  </si>
  <si>
    <t>ENST00000261681,ENST00000554911,ENST00000556345,ENST00000555925,ENST00000554208,ENST00000557783,ENST00000557237</t>
  </si>
  <si>
    <t>ENSP00000261681,ENSP00000450550,ENSP00000451488,ENSP00000450656,ENSP00000451571</t>
  </si>
  <si>
    <t>NM_001134223,NM_022832</t>
  </si>
  <si>
    <t>NP_001127695.1,NP_073743.2</t>
  </si>
  <si>
    <t>ENST00000441222,ENST00000451218,ENST00000503060,ENST00000514536,ENST00000508499,ENST00000502443,ENST00000506707,ENST00000512656,ENST00000504078</t>
  </si>
  <si>
    <t>ENSP00000407818,ENSP00000390102,ENSP00000422018,ENSP00000426970,ENSP00000423244,ENSP00000425806</t>
  </si>
  <si>
    <t>ENST00000606202,ENST00000461481,ENST00000606797,ENST00000367456,ENST00000470466,ENST00000484505,ENST00000538427</t>
  </si>
  <si>
    <t>ENSP00000476139,ENSP00000475580,ENSP00000356426,ENSP00000432709,ENSP00000445752</t>
  </si>
  <si>
    <t>ENST00000302313,ENST00000423296,ENST00000413099,ENST00000433841,ENST00000420940,ENST00000441361,ENST00000489838,ENST00000463198,ENST00000477197,ENST00000466405</t>
  </si>
  <si>
    <t>ENSP00000307491,ENSP00000401421,ENSP00000388720,ENSP00000406025,ENSP00000415963,ENSP00000416900</t>
  </si>
  <si>
    <t>ENST00000373829,ENST00000483897,ENST00000465388,ENST00000475413,ENST00000538820</t>
  </si>
  <si>
    <t>ENSP00000362935,ENSP00000440289</t>
  </si>
  <si>
    <t>Homo sapiens family with sequence similarity 133, member A (FAM133A)</t>
  </si>
  <si>
    <t>NM_001171111,NM_001171110,NM_001171109,NM_173698</t>
  </si>
  <si>
    <t>NP_001164582.1,NP_001164581.1,NP_001164580.1,NP_775969.1</t>
  </si>
  <si>
    <t>ENST00000332647,ENST00000322139</t>
  </si>
  <si>
    <t>ENSP00000362169,ENSP00000318974</t>
  </si>
  <si>
    <t>ENST00000300107,ENST00000559152,ENST00000560166,ENST00000558958,ENST00000558103,ENST00000559218</t>
  </si>
  <si>
    <t>ENSP00000300107,ENSP00000453461,ENSP00000452611</t>
  </si>
  <si>
    <t>ENST00000409176,ENST00000468408,ENST00000338983,ENST00000476618,ENST00000375213,ENST00000422149,ENST00000480606,ENST00000539448</t>
  </si>
  <si>
    <t>ENSP00000387259,ENSP00000340257,ENSP00000364361,ENSP00000411923,ENSP00000439414</t>
  </si>
  <si>
    <t>ENST00000484414,ENST00000469661,ENST00000460576,ENST00000417314,ENST00000460784</t>
  </si>
  <si>
    <t>ENSP00000417341,ENSP00000419738,ENSP00000401878,ENSP00000418075</t>
  </si>
  <si>
    <t>NM_001145288,NM_139319</t>
  </si>
  <si>
    <t>NP_001138760.1,NP_647480.1</t>
  </si>
  <si>
    <t>ENST00000323346,ENST00000392989,ENST00000547922,ENST00000552697</t>
  </si>
  <si>
    <t>ENSP00000316909,ENSP00000376715</t>
  </si>
  <si>
    <t>ENST00000264279,ENST00000426814,ENST00000488403,ENST00000492740,ENST00000472050,ENST00000467734,ENST00000492688,ENST00000478941,ENST00000433543,ENST00000478508</t>
  </si>
  <si>
    <t>ENSP00000264279,ENSP00000388905,ENSP00000388126</t>
  </si>
  <si>
    <t>ENST00000266581,ENST00000550413,ENST00000429635</t>
  </si>
  <si>
    <t>ENSP00000266581,ENSP00000449034,ENSP00000406020</t>
  </si>
  <si>
    <t>ENST00000281092,ENST00000509035,ENST00000513676,ENST00000504143,ENST00000502752,ENST00000505323,ENST00000513777,ENST00000618353,ENST00000438717,ENST00000628534</t>
  </si>
  <si>
    <t>ENSP00000281092,ENSP00000421951,ENSP00000484767,ENSP00000394297,ENSP00000486048</t>
  </si>
  <si>
    <t>ENST00000319888,ENST00000573134,ENST00000576251,ENST00000574538,ENST00000577166,ENST00000609769,ENST00000574676</t>
  </si>
  <si>
    <t>ENSP00000320349,ENSP00000460774,ENSP00000458290,ENSP00000458415,ENSP00000477089,ENSP00000461097</t>
  </si>
  <si>
    <t>ENST00000303383,ENST00000567698,ENST00000563219,ENST00000569702,ENST00000566016,ENST00000565887,ENST00000564272</t>
  </si>
  <si>
    <t>ENSP00000306473,ENSP00000460840</t>
  </si>
  <si>
    <t>ENST00000238497,ENST00000588323,ENST00000588059,ENST00000591475,ENST00000589604,ENST00000591383,ENST00000591519</t>
  </si>
  <si>
    <t>ENSP00000238497,ENSP00000465944,ENSP00000465846</t>
  </si>
  <si>
    <t>ENSP00000370013,ENSP00000427524,ENSP00000429665,ENSP00000425606,ENSP00000308948,ENSP00000427349,ENSP00000426295,ENSP00000425773,ENSP00000444772,ENSP00000438810</t>
  </si>
  <si>
    <t>ENST00000296328,ENST00000429160,ENST00000428095,ENST00000381887,ENST00000413584,ENST00000493566</t>
  </si>
  <si>
    <t>ENSP00000296328,ENSP00000397238,ENSP00000397256,ENSP00000371311,ENSP00000404778</t>
  </si>
  <si>
    <t>Homo sapiens ceroid-lipofuscinosis, neuronal 8 (CLN8)</t>
  </si>
  <si>
    <t>ENST00000524258,ENST00000518780,ENST00000517514,ENST00000331222,ENST00000520991,ENST00000519254,ENST00000523237</t>
  </si>
  <si>
    <t>ENSP00000488898,ENSP00000328182,ENSP00000487905</t>
  </si>
  <si>
    <t>NM_182962,NM_001165</t>
  </si>
  <si>
    <t>NP_892007.1,NP_001156.1</t>
  </si>
  <si>
    <t>ENST00000526421,ENST00000263464,ENST00000528940,ENST00000532808,ENST00000527309,ENST00000527336,ENST00000615299</t>
  </si>
  <si>
    <t>ENSP00000263464,ENSP00000432907,ENSP00000431718,ENSP00000481903</t>
  </si>
  <si>
    <t>Homo sapiens hepatoma-derived growth factor, related protein 3 (HDGFRP3)</t>
  </si>
  <si>
    <t>ENST00000568294,ENST00000299633,ENST00000563790,ENST00000562702,ENST00000568129,ENST00000563404</t>
  </si>
  <si>
    <t>ENSP00000455388,ENSP00000299633,ENSP00000455425,ENSP00000456699</t>
  </si>
  <si>
    <t>ENST00000319211,ENST00000505600</t>
  </si>
  <si>
    <t>ENSP00000321326,ENSP00000426398</t>
  </si>
  <si>
    <t>NM_001127358,NM_001127357,NM_020432</t>
  </si>
  <si>
    <t>NP_001120830.1,NP_001120829.1,NP_065165.3</t>
  </si>
  <si>
    <t>ENST00000422959,ENST00000307305,ENST00000424760,ENST00000415251,ENST00000275575,ENST00000450574,ENST00000248550,ENST00000454592,ENST00000479515,ENST00000468351,ENST00000470215,ENST00000416283</t>
  </si>
  <si>
    <t>ENSP00000403042,ENSP00000307699,ENSP00000403620,ENSP00000408035,ENSP00000275575,ENSP00000387355,ENSP00000248550,ENSP00000400958</t>
  </si>
  <si>
    <t>ENST00000473131,ENST00000466974,ENST00000203001,ENST00000493972,ENST00000453074</t>
  </si>
  <si>
    <t>ENSP00000203001,ENSP00000392070</t>
  </si>
  <si>
    <t>Homo sapiens solute carrier family 35, member D3 (SLC35D3)</t>
  </si>
  <si>
    <t>Homo sapiens casein kinase 1, gamma 3 (CSNK1G3)</t>
  </si>
  <si>
    <t>NM_004384,NM_001270574,NM_001270573,NM_001270572,NM_001044723,NM_001031812</t>
  </si>
  <si>
    <t>NP_004375.2,NP_001257503.1,NP_001257502.1,NP_001257501.1,NP_001038188.1,NP_001026982.1</t>
  </si>
  <si>
    <t>ENST00000508708,ENST00000511130,ENST00000512718,ENST00000521364,ENST00000510842,ENST00000361991,ENST00000360683,ENST00000514131,ENST00000515322,ENST00000345990</t>
  </si>
  <si>
    <t>ENSP00000421385,ENSP00000421998,ENSP00000429412,ENSP00000423838,ENSP00000354942,ENSP00000353904,ENSP00000429914,ENSP00000334735</t>
  </si>
  <si>
    <t>NM_001204880,NM_003338</t>
  </si>
  <si>
    <t>NP_001191809.1,NP_003329.1</t>
  </si>
  <si>
    <t>ENST00000373910,ENST00000473824,ENST00000606483,ENST00000615793</t>
  </si>
  <si>
    <t>ENSP00000363019,ENSP00000479814</t>
  </si>
  <si>
    <t>ENST00000334464,ENST00000482496,ENST00000489302,ENST00000489491</t>
  </si>
  <si>
    <t>ENST00000373275,ENST00000473691,ENST00000497335,ENST00000487313,ENST00000478415</t>
  </si>
  <si>
    <t>Homo sapiens periostin, osteoblast specific factor (POSTN)</t>
  </si>
  <si>
    <t>NM_001135936,NM_006475,NM_001135935,NM_001135934</t>
  </si>
  <si>
    <t>NP_001129408.1,NP_006466.2,NP_001129407.1,NP_001129406.1</t>
  </si>
  <si>
    <t>ENST00000379749,ENST00000379747,ENST00000379743,ENST00000379742,ENST00000478947,ENST00000473823,ENST00000474646,ENST00000497145,ENST00000541179,ENST00000541481</t>
  </si>
  <si>
    <t>ENSP00000369073,ENSP00000369071,ENSP00000369067,ENSP00000369066,ENSP00000437959,ENSP00000437953</t>
  </si>
  <si>
    <t>ENSP00000417354,ENSP00000309893</t>
  </si>
  <si>
    <t>NM_001184742,NM_006777</t>
  </si>
  <si>
    <t>NP_001171671.1,NP_006768.1</t>
  </si>
  <si>
    <t>ENST00000326624,ENST00000557385</t>
  </si>
  <si>
    <t>ENSP00000314153,ENSP00000450969</t>
  </si>
  <si>
    <t>Homo sapiens odontogenic, ameloblast asssociated (ODAM)</t>
  </si>
  <si>
    <t>ENST00000396094,ENST00000510709,ENST00000506248,ENST00000514097,ENST00000510847</t>
  </si>
  <si>
    <t>ENSP00000379401,ENSP00000423070,ENSP00000426106,ENSP00000422100</t>
  </si>
  <si>
    <t>NM_001190440,NM_006311</t>
  </si>
  <si>
    <t>NP_001177369.1,NP_006302.2</t>
  </si>
  <si>
    <t>ENST00000268712,ENST00000464381,ENST00000470782,ENST00000395851,ENST00000580617,ENST00000395849,ENST00000582565,ENST00000579573,ENST00000603989,ENST00000580554,ENST00000579606,ENST00000583234,ENST00000458113,ENST00000472189,ENST00000584872,ENST00000436068,ENST00000395848,ENST00000583226,ENST00000411510,ENST00000582357,ENST00000436828,ENST00000460276,ENST00000585296,ENST00000579974,ENST00000430577,ENST00000466825,ENST00000395857</t>
  </si>
  <si>
    <t>ENSP00000268712,ENSP00000379192,ENSP00000379190,ENSP00000461959,ENSP00000474008,ENSP00000463169,ENSP00000462281,ENSP00000389839,ENSP00000379189,ENSP00000407998,ENSP00000462308,ENSP00000387727,ENSP00000462794,ENSP00000410784,ENSP00000379198</t>
  </si>
  <si>
    <t>ENST00000296129,ENST00000425231,ENST00000490471</t>
  </si>
  <si>
    <t>ENSP00000296129,ENSP00000399342</t>
  </si>
  <si>
    <t>NM_152478,NM_001159860,NM_001159861</t>
  </si>
  <si>
    <t>NP_689691.2,NP_001153332.1,NP_001153333.1</t>
  </si>
  <si>
    <t>ENST00000588635,ENST00000537943,ENST00000539211,ENST00000333201,ENST00000391778,ENST00000436972,ENST00000585612,ENST00000291598</t>
  </si>
  <si>
    <t>ENSP00000444291,ENSP00000388502,ENSP00000375657,ENSP00000291598</t>
  </si>
  <si>
    <t>Homo sapiens rhophilin, Rho GTPase binding protein 1 (RHPN1)</t>
  </si>
  <si>
    <t>ENST00000289013,ENST00000522335,ENST00000522899,ENST00000620174</t>
  </si>
  <si>
    <t>ENSP00000289013,ENSP00000484724</t>
  </si>
  <si>
    <t>Homo sapiens MYC binding protein 2, E3 ubiquitin protein ligase (MYCBP2)</t>
  </si>
  <si>
    <t>ENST00000544440,ENST00000429715,ENST00000485061,ENST00000482517,ENST00000462987,ENST00000498073,ENST00000466564,ENST00000486679,ENST00000474882,ENST00000491491,ENST00000357337,ENST00000612956</t>
  </si>
  <si>
    <t>ENSP00000444596,ENSP00000413907,ENSP00000481482,ENSP00000349892,ENSP00000483488</t>
  </si>
  <si>
    <t>ENST00000370862,ENST00000615358</t>
  </si>
  <si>
    <t>ENSP00000359899,ENSP00000477548</t>
  </si>
  <si>
    <t>Homo sapiens eukaryotic translation initiation factor 2, subunit 1 alpha, 35kDa (EIF2S1)</t>
  </si>
  <si>
    <t>ENST00000256383,ENST00000556724,ENST00000557310,ENST00000466499,ENST00000555876,ENST00000554332</t>
  </si>
  <si>
    <t>ENSP00000256383,ENSP00000451975,ENSP00000425299,ENSP00000452034</t>
  </si>
  <si>
    <t>ENST00000359015,ENST00000463140</t>
  </si>
  <si>
    <t>Homo sapiens wingless-type MMTV integration site family, member 5A (WNT5A)</t>
  </si>
  <si>
    <t>NM_001256105,NM_003392</t>
  </si>
  <si>
    <t>NP_001243034.1,NP_003383.2</t>
  </si>
  <si>
    <t>ENST00000474267,ENST00000493406,ENST00000497027,ENST00000482079,ENST00000497817,ENST00000624674,ENST00000264634,ENST00000614415</t>
  </si>
  <si>
    <t>ENSP00000417310,ENSP00000420104,ENSP00000418184,ENSP00000264634,ENSP00000478784</t>
  </si>
  <si>
    <t>Homo sapiens SWI/SNF related, matrix associated, actin dependent regulator of chromatin, subfamily a, member 1 (SMARCA1)</t>
  </si>
  <si>
    <t>ENST00000617310,ENST00000371122,ENST00000371123,ENST00000371121,ENST00000478420</t>
  </si>
  <si>
    <t>ENSP00000360163,ENSP00000360164,ENSP00000360162</t>
  </si>
  <si>
    <t>ENST00000447399,ENST00000318950,ENST00000526358,ENST00000531814,ENST00000524817,ENST00000534662,ENST00000534562</t>
  </si>
  <si>
    <t>ENSP00000399056,ENSP00000315630,ENSP00000431768,ENSP00000435587,ENSP00000433824</t>
  </si>
  <si>
    <t>ENST00000548712,ENST00000279907,ENST00000545232,ENST00000547504,ENST00000356828,ENST00000548045,ENST00000551973,ENST00000550544,ENST00000551980,ENST00000547428</t>
  </si>
  <si>
    <t>ENSP00000447809,ENSP00000279907,ENSP00000444824,ENSP00000349285,ENSP00000449112,ENSP00000448226,ENSP00000447043,ENSP00000449189,ENSP00000448420</t>
  </si>
  <si>
    <t>Homo sapiens inositol polyphosphate-4-phosphatase, type II, 105kDa (INPP4B)</t>
  </si>
  <si>
    <t>NM_003866,NM_001101669</t>
  </si>
  <si>
    <t>NP_003857.2,NP_001095139.1</t>
  </si>
  <si>
    <t>ENST00000513000,ENST00000508116,ENST00000509777,ENST00000511838,ENST00000512630,ENST00000510812,ENST00000514525,ENST00000506297,ENST00000507462,ENST00000506217,ENST00000506788,ENST00000506517,ENST00000506000,ENST00000504632,ENST00000506243,ENST00000507861,ENST00000503927,ENST00000514964,ENST00000505483,ENST00000512489,ENST00000508084,ENST00000262992,ENST00000630044</t>
  </si>
  <si>
    <t>ENSP00000425487,ENSP00000423954,ENSP00000422793,ENSP00000426207,ENSP00000423771,ENSP00000427250,ENSP00000421065,ENSP00000424731,ENSP00000425764,ENSP00000424057,ENSP00000426957,ENSP00000420888,ENSP00000426897,ENSP00000422052,ENSP00000262992,ENSP00000486368</t>
  </si>
  <si>
    <t>NM_001256428,NM_001256426,NM_001256425,NM_001011513,NM_006457</t>
  </si>
  <si>
    <t>NP_001243357.1,NP_001243355.1,NP_001243354.1,NP_001011513.3,NP_006448.4</t>
  </si>
  <si>
    <t>ENST00000359265,ENST00000317968,ENST00000514830,ENST00000512274,ENST00000509333,ENST00000503974,ENST00000504489,ENST00000627587,ENST00000542407,ENST00000508216,ENST00000514743,ENST00000511767,ENST00000510099,ENST00000509357,ENST00000513341,ENST00000508531,ENST00000511586,ENST00000380176,ENST00000506632,ENST00000318007,ENST00000380180,ENST00000437932,ENST00000615540</t>
  </si>
  <si>
    <t>ENSP00000352210,ENSP00000321746,ENSP00000426379,ENSP00000424297,ENSP00000423009,ENSP00000486938,ENSP00000442187,ENSP00000426804,ENSP00000424360,ENSP00000486834,ENSP00000422833,ENSP00000429577,ENSP00000422528,ENSP00000322021,ENSP00000369527,ENSP00000398469,ENSP00000480359</t>
  </si>
  <si>
    <t>Homo sapiens trafficking protein, kinesin binding 2 (TRAK2)</t>
  </si>
  <si>
    <t>ENST00000332624,ENST00000430254,ENST00000486291,ENST00000451703,ENST00000440597,ENST00000620184</t>
  </si>
  <si>
    <t>ENSP00000328875,ENSP00000409333,ENSP00000388254,ENSP00000482435</t>
  </si>
  <si>
    <t>ENST00000450482,ENST00000331758,ENST00000491916,ENST00000492466,ENST00000370848</t>
  </si>
  <si>
    <t>ENSP00000398634,ENSP00000333012,ENSP00000434451,ENSP00000359885</t>
  </si>
  <si>
    <t>NM_006375,NM_182314</t>
  </si>
  <si>
    <t>NP_006366.2,NP_872114.1</t>
  </si>
  <si>
    <t>ENST00000370935,ENST00000370927,ENST00000432489,ENST00000492263,ENST00000338144,ENST00000394363,ENST00000610637</t>
  </si>
  <si>
    <t>ENSP00000359973,ENSP00000359965,ENSP00000400304,ENSP00000337146,ENSP00000377890,ENSP00000478608</t>
  </si>
  <si>
    <t>Homo sapiens nuclear factor, erythroid 2-like 2 (NFE2L2)</t>
  </si>
  <si>
    <t>NM_001145413,NM_001145412,NM_006164</t>
  </si>
  <si>
    <t>NP_001138885.1,NP_001138884.1,NP_006155.2</t>
  </si>
  <si>
    <t>ENST00000458603,ENST00000397063,ENST00000397062,ENST00000446151,ENST00000464747,ENST00000449627,ENST00000448782,ENST00000430047,ENST00000586532,ENST00000421929,ENST00000423513,ENST00000588123,ENST00000477534,ENST00000462023</t>
  </si>
  <si>
    <t>ENSP00000416308,ENSP00000380253,ENSP00000380252,ENSP00000411575,ENSP00000467401,ENSP00000391590,ENSP00000400073,ENSP00000391291,ENSP00000464920,ENSP00000412191,ENSP00000410015,ENSP00000468089</t>
  </si>
  <si>
    <t>NM_024793,NM_015041</t>
  </si>
  <si>
    <t>NP_079069.1,NP_055856.1</t>
  </si>
  <si>
    <t>ENST00000576634,ENST00000573370,ENST00000574369,ENST00000574592,ENST00000575134,ENST00000341633,ENST00000571025,ENST00000576117,ENST00000572600,ENST00000574551,ENST00000572632,ENST00000575323</t>
  </si>
  <si>
    <t>ENSP00000460850,ENSP00000460977,ENSP00000458886,ENSP00000459602,ENSP00000459399,ENSP00000344392,ENSP00000460706,ENSP00000461063,ENSP00000460889,ENSP00000458513,ENSP00000458180</t>
  </si>
  <si>
    <t>ENST00000359942,ENST00000461718,ENST00000495072,ENST00000396478</t>
  </si>
  <si>
    <t>ENSP00000353024,ENSP00000379739</t>
  </si>
  <si>
    <t>NM_001135820,NM_013390</t>
  </si>
  <si>
    <t>NP_001129292.1,NP_037522.1</t>
  </si>
  <si>
    <t>ENST00000377044,ENST00000377057,ENST00000538669,ENST00000377066,ENST00000542935,ENST00000396272,ENST00000474495,ENST00000377055,ENST00000377043,ENST00000537329,ENST00000546219,ENST00000543165,ENST00000545719</t>
  </si>
  <si>
    <t>ENSP00000366243,ENSP00000366266,ENSP00000437750,ENSP00000379569,ENSP00000366254,ENSP00000366242,ENSP00000444571</t>
  </si>
  <si>
    <t>Homo sapiens solute carrier family 38, member 4 (SLC38A4)</t>
  </si>
  <si>
    <t>NM_001143824,NM_018018</t>
  </si>
  <si>
    <t>NP_001137296.1,NP_060488.2</t>
  </si>
  <si>
    <t>ENST00000447411,ENST00000266579,ENST00000550670,ENST00000547477,ENST00000546940</t>
  </si>
  <si>
    <t>ENSP00000389843,ENSP00000266579,ENSP00000448186,ENSP00000450071,ENSP00000448543</t>
  </si>
  <si>
    <t>Homo sapiens family with sequence similarity 114, member A2 (FAM114A2)</t>
  </si>
  <si>
    <t>ENST00000351797,ENST00000522858,ENST00000520667,ENST00000518914,ENST00000518946,ENST00000520313,ENST00000518735,ENST00000517803,ENST00000522395,ENST00000518900,ENST00000523705,ENST00000519808,ENST00000518102,ENST00000522634,ENST00000517605,ENST00000521031,ENST00000524246,ENST00000616320</t>
  </si>
  <si>
    <t>ENSP00000341597,ENSP00000430489,ENSP00000430384,ENSP00000429088,ENSP00000430186,ENSP00000428827,ENSP00000429753,ENSP00000428551,ENSP00000428941,ENSP00000429919,ENSP00000429403,ENSP00000479498</t>
  </si>
  <si>
    <t>NM_001256313,NM_001256312,NM_006281</t>
  </si>
  <si>
    <t>NP_001243242.1,NP_001243241.1,NP_006272.2</t>
  </si>
  <si>
    <t>ENST00000517832,ENST00000419617,ENST00000523601,ENST00000520440,ENST00000518582,ENST00000523159,ENST00000518165,ENST00000518627,ENST00000522924,ENST00000521649,ENST00000520053,ENST00000521768,ENST00000520653,ENST00000424861,ENST00000523567,ENST00000523960,ENST00000519420,ENST00000617590</t>
  </si>
  <si>
    <t>ENSP00000390500,ENSP00000429744,ENSP00000428014,ENSP00000429369,ENSP00000428167,ENSP00000428295,ENSP00000482260</t>
  </si>
  <si>
    <t>ENST00000441802,ENST00000500085,ENST00000512772,ENST00000507105,ENST00000509537,ENST00000509927,ENST00000507662,ENST00000512347,ENST00000503253,ENST00000508035,ENST00000509647,ENST00000614102</t>
  </si>
  <si>
    <t>ENSP00000406229,ENSP00000424157,ENSP00000423801,ENSP00000421003,ENSP00000420869,ENSP00000423736,ENSP00000479573</t>
  </si>
  <si>
    <t>Homo sapiens transforming growth factor, beta 2 (TGFB2)</t>
  </si>
  <si>
    <t>NM_001135599,NM_003238</t>
  </si>
  <si>
    <t>NP_001129071.1,NP_003229.1</t>
  </si>
  <si>
    <t>ENST00000366930,ENST00000366929,ENST00000488793,ENST00000479322</t>
  </si>
  <si>
    <t>ENSP00000355897,ENSP00000355896</t>
  </si>
  <si>
    <t>NM_001256910,NM_004728</t>
  </si>
  <si>
    <t>NP_001243839.1,NP_004719.2</t>
  </si>
  <si>
    <t>ENST00000354185,ENST00000620315</t>
  </si>
  <si>
    <t>ENSP00000346120,ENSP00000480334</t>
  </si>
  <si>
    <t>ENST00000503238,ENST00000507873,ENST00000503339,ENST00000512810,ENST00000514617,ENST00000513401,ENST00000512297,ENST00000502925,ENST00000507711,ENST00000511343,ENST00000506685,ENST00000302806,ENST00000505759,ENST00000505437,ENST00000502520,ENST00000514783,ENST00000509886,ENST00000515684,ENST00000358350</t>
  </si>
  <si>
    <t>ENSP00000426064,ENSP00000422408,ENSP00000425344,ENSP00000421584,ENSP00000425592,ENSP00000422988,ENSP00000351113</t>
  </si>
  <si>
    <t>Homo sapiens collagen, type IV, alpha 5 (COL4A5)</t>
  </si>
  <si>
    <t>NM_000495,NM_033380</t>
  </si>
  <si>
    <t>NP_000486.1,NP_203699.1</t>
  </si>
  <si>
    <t>ENST00000477429,ENST00000328300,ENST00000361603,ENST00000470339,ENST00000483338,ENST00000505728,ENST00000489230,ENST00000510690,ENST00000515658,ENST00000504541</t>
  </si>
  <si>
    <t>ENSP00000331902,ENSP00000354505,ENSP00000424137,ENSP00000423520,ENSP00000424845</t>
  </si>
  <si>
    <t>ENST00000370551,ENST00000370550,ENST00000591456</t>
  </si>
  <si>
    <t>ENSP00000359582,ENSP00000359581,ENSP00000467253</t>
  </si>
  <si>
    <t>Homo sapiens sema domain, immunoglobulin domain (Ig)</t>
  </si>
  <si>
    <t>ENST00000265361,ENST00000419255,ENST00000458729,ENST00000475955,ENST00000459652,ENST00000411788,ENST00000427167,ENST00000487621,ENST00000470581</t>
  </si>
  <si>
    <t>ENSP00000265361,ENSP00000411193,ENSP00000393825,ENSP00000395398,ENSP00000399891</t>
  </si>
  <si>
    <t>ENST00000260408,ENST00000402627,ENST00000561288,ENST00000482945,ENST00000396136,ENST00000470269,ENST00000462061,ENST00000481164,ENST00000475898,ENST00000559053,ENST00000558733,ENST00000439637,ENST00000497846,ENST00000558004,ENST00000560608,ENST00000561149,ENST00000461408</t>
  </si>
  <si>
    <t>ENSP00000260408,ENSP00000386056,ENSP00000452639,ENSP00000456542,ENSP00000453952,ENSP00000391930,ENSP00000452704,ENSP00000481779</t>
  </si>
  <si>
    <t>NM_001190801,NM_001190799,NM_014264</t>
  </si>
  <si>
    <t>NP_001177730.1,NP_001177728.1,NP_055079.3</t>
  </si>
  <si>
    <t>ENST00000270861,ENST00000511942,ENST00000503914,ENST00000515069,ENST00000513090,ENST00000507249,ENST00000514379,ENST00000510605,ENST00000507454,ENST00000508113,ENST00000510192</t>
  </si>
  <si>
    <t>ENSP00000270861,ENSP00000421774,ENSP00000427554,ENSP00000423412,ENSP00000423582,ENSP00000427568</t>
  </si>
  <si>
    <t>ENST00000361236,ENST00000398136,ENST00000532161,ENST00000528969,ENST00000529492,ENST00000525577,ENST00000531103,ENST00000526676</t>
  </si>
  <si>
    <t>ENSP00000355285,ENSP00000381204,ENSP00000435331,ENSP00000434976,ENSP00000433695,ENSP00000435842</t>
  </si>
  <si>
    <t>ENST00000565905,ENST00000563330,ENST00000361627,ENST00000567348,ENST00000563864,ENST00000543522,ENST00000562481,ENST00000564918</t>
  </si>
  <si>
    <t>ENSP00000455754,ENSP00000355090,ENSP00000454575,ENSP00000456078,ENSP00000440073,ENSP00000455593</t>
  </si>
  <si>
    <t>ENST00000232564,ENST00000466899,ENST00000468623,ENST00000465153,ENST00000497513</t>
  </si>
  <si>
    <t>ENSP00000232564,ENSP00000420066,ENSP00000419693,ENSP00000420606</t>
  </si>
  <si>
    <t>NM_018286,NM_001099640</t>
  </si>
  <si>
    <t>NP_060756.2,NP_001093110.1</t>
  </si>
  <si>
    <t>ENST00000424486,ENST00000575734,ENST00000571679,ENST00000575685,ENST00000570586,ENST00000575806</t>
  </si>
  <si>
    <t>ENSP00000395328,ENSP00000465638,ENSP00000459290</t>
  </si>
  <si>
    <t>Homo sapiens CTR9, Paf1/RNA polymerase II complex component (CTR9)</t>
  </si>
  <si>
    <t>ENST00000361367,ENST00000524523,ENST00000526874,ENST00000529355,ENST00000529898</t>
  </si>
  <si>
    <t>ENSP00000355013,ENSP00000431458</t>
  </si>
  <si>
    <t>NM_001145512,NM_001145511,NM_005595,NM_001134673</t>
  </si>
  <si>
    <t>NP_001138984.1,NP_001138983.1,NP_005586.1,NP_001128145.1</t>
  </si>
  <si>
    <t>ENST00000371191,ENST00000476646,ENST00000407417,ENST00000479364,ENST00000371189,ENST00000403491,ENST00000371187,ENST00000485903,ENST00000371185,ENST00000371184,ENST00000496712,ENST00000482020,ENST00000357977,ENST00000493627</t>
  </si>
  <si>
    <t>ENSP00000360233,ENSP00000474461,ENSP00000384680,ENSP00000360231,ENSP00000384523,ENSP00000360229,ENSP00000419785,ENSP00000360227,ENSP00000360226,ENSP00000473830,ENSP00000474806,ENSP00000474462,ENSP00000474817</t>
  </si>
  <si>
    <t>ENST00000263063,ENST00000488290,ENST00000417581,ENST00000421701,ENST00000471055</t>
  </si>
  <si>
    <t>ENSP00000263063,ENSP00000404392,ENSP00000394118</t>
  </si>
  <si>
    <t>Homo sapiens eukaryotic translation initiation factor 3, subunit J (EIF3J)</t>
  </si>
  <si>
    <t>ENST00000261868,ENST00000424492,ENST00000535391,ENST00000558227,ENST00000558053,ENST00000536248,ENST00000558353</t>
  </si>
  <si>
    <t>ENSP00000261868,ENSP00000414548,ENSP00000440221,ENSP00000443563,ENSP00000453282</t>
  </si>
  <si>
    <t>NM_015012,NR_028491</t>
  </si>
  <si>
    <t>NP_055827.1,-</t>
  </si>
  <si>
    <t>ENST00000299596,ENST00000524543,ENST00000528080,ENST00000533867,ENST00000527813,ENST00000533723,ENST00000611268</t>
  </si>
  <si>
    <t>ENSP00000299596,ENSP00000431934,ENSP00000433126,ENSP00000435685,ENSP00000436480,ENSP00000480141</t>
  </si>
  <si>
    <t>ENST00000196371,ENST00000512084,ENST00000510634,ENST00000509987,ENST00000508557,ENST00000503374,ENST00000513081,ENST00000514723</t>
  </si>
  <si>
    <t>ENSP00000196371,ENSP00000421143,ENSP00000423144,ENSP00000425348</t>
  </si>
  <si>
    <t>ENST00000494559,ENST00000263666,ENST00000462146,ENST00000466780,ENST00000479530,ENST00000492909,ENST00000478209,ENST00000466348,ENST00000484487,ENST00000477434,ENST00000498048,ENST00000308537</t>
  </si>
  <si>
    <t>ENSP00000419095,ENSP00000263666,ENSP00000418168,ENSP00000418484,ENSP00000418624,ENSP00000419250,ENSP00000308831</t>
  </si>
  <si>
    <t>Homo sapiens guanylate cyclase 1, soluble, alpha 2 (GUCY1A2)</t>
  </si>
  <si>
    <t>NM_001256424,NM_000855</t>
  </si>
  <si>
    <t>NP_001243353.1,NP_000846.1</t>
  </si>
  <si>
    <t>ENST00000526355,ENST00000282249,ENST00000347596</t>
  </si>
  <si>
    <t>ENSP00000431245,ENSP00000282249,ENSP00000344874</t>
  </si>
  <si>
    <t>Homo sapiens small nuclear RNA activating complex, polypeptide 1, 43kDa (SNAPC1)</t>
  </si>
  <si>
    <t>ENST00000260129,ENST00000523948,ENST00000519494</t>
  </si>
  <si>
    <t>ENSP00000260129,ENSP00000430467</t>
  </si>
  <si>
    <t>Homo sapiens cleavage stimulation factor, 3' pre-RNA, subunit 3, 77kDa (CSTF3)</t>
  </si>
  <si>
    <t>ENST00000528865,ENST00000323959,ENST00000524827,ENST00000526480,ENST00000438862,ENST00000431742,ENST00000524556,ENST00000524775</t>
  </si>
  <si>
    <t>ENSP00000435138,ENSP00000315791,ENSP00000431355,ENSP00000388711,ENSP00000393064,ENSP00000434753,ENSP00000431903</t>
  </si>
  <si>
    <t>NM_005690,NM_012063,NM_012062</t>
  </si>
  <si>
    <t>NP_005681.2,NP_036193.2,NP_036192.2</t>
  </si>
  <si>
    <t>ENST00000452533,ENST00000553257,ENST00000549701,ENST00000358214,ENST00000548671,ENST00000266481,ENST00000550011,ENST00000551076,ENST00000551643,ENST00000551476,ENST00000550154,ENST00000547932,ENST00000434676,ENST00000413295,ENST00000547312,ENST00000546649,ENST00000381000,ENST00000548750,ENST00000549926,ENST00000546757,ENST00000547719,ENST00000547548,ENST00000550093,ENST00000547078,ENST00000548151,ENST00000552743,ENST00000549157,ENST00000547640,ENST00000553031,ENST00000414834</t>
  </si>
  <si>
    <t>ENSP00000415131,ENSP00000449089,ENSP00000450399,ENSP00000350948,ENSP00000266481,ENSP00000450401,ENSP00000447845,ENSP00000447013,ENSP00000390090,ENSP00000396030,ENSP00000448610,ENSP00000448936,ENSP00000370388,ENSP00000447788,ENSP00000448105,ENSP00000448802,ENSP00000404160</t>
  </si>
  <si>
    <t>ENST00000367739,ENST00000458076,ENST00000414770,ENST00000478333,ENST00000543628</t>
  </si>
  <si>
    <t>ENSP00000356713,ENSP00000389249,ENSP00000394230,ENSP00000443282</t>
  </si>
  <si>
    <t>Homo sapiens galactosidase, beta 1-like (GLB1L)</t>
  </si>
  <si>
    <t>ENST00000295759,ENST00000497855,ENST00000409640,ENST00000392089,ENST00000447002,ENST00000440853,ENST00000471516,ENST00000459951,ENST00000428427,ENST00000467548,ENST00000424620,ENST00000432839</t>
  </si>
  <si>
    <t>ENSP00000295759,ENSP00000386354,ENSP00000375939,ENSP00000396263,ENSP00000387703,ENSP00000400738,ENSP00000404698,ENSP00000392018</t>
  </si>
  <si>
    <t>ENST00000335968,ENST00000558533,ENST00000539112,ENST00000559492,ENST00000557811,ENST00000560150,ENST00000615656</t>
  </si>
  <si>
    <t>ENSP00000338093,ENSP00000452740,ENSP00000439899,ENSP00000478827</t>
  </si>
  <si>
    <t>Homo sapiens striatin, calmodulin binding protein 3 (STRN3)</t>
  </si>
  <si>
    <t>NM_001083893,NM_014574</t>
  </si>
  <si>
    <t>NP_001077362.1,NP_055389.3</t>
  </si>
  <si>
    <t>ENST00000355683,ENST00000357479,ENST00000555358,ENST00000554124,ENST00000366206,ENST00000554991,ENST00000556577,ENST00000555152</t>
  </si>
  <si>
    <t>ENSP00000347909,ENSP00000350071,ENSP00000451028,ENSP00000452542,ENSP00000452092,ENSP00000451233</t>
  </si>
  <si>
    <t>ENST00000375759,ENST00000471538,ENST00000438066,ENST00000442985,ENST00000487496</t>
  </si>
  <si>
    <t>ENSP00000364912,ENSP00000388021,ENSP00000400914</t>
  </si>
  <si>
    <t>NM_001190242,NM_001190241,NM_020800</t>
  </si>
  <si>
    <t>NP_001177171.1,NP_001177170.1,NP_065851.1</t>
  </si>
  <si>
    <t>ENST00000326448,ENST00000483465,ENST00000496589,ENST00000487943,ENST00000478278,ENST00000463240,ENST00000483325,ENST00000472555,ENST00000461213,ENST00000478460,ENST00000484963,ENST00000465537,ENST00000472773,ENST00000475677,ENST00000498409,ENST00000468218,ENST00000486856,ENST00000478370,ENST00000477495,ENST00000482317,ENST00000465972,ENST00000489004,ENST00000468327,ENST00000478536,ENST00000498145,ENST00000467254,ENST00000466326</t>
  </si>
  <si>
    <t>ENSP00000312778,ENSP00000418196,ENSP00000420646,ENSP00000417552,ENSP00000420401,ENSP00000420260,ENSP00000418602,ENSP00000419458,ENSP00000420001,ENSP00000417057,ENSP00000417861,ENSP00000420758,ENSP00000418497,ENSP00000418455,ENSP00000419468</t>
  </si>
  <si>
    <t>ENST00000334534,ENST00000488816</t>
  </si>
  <si>
    <t>ENSP00000335557,ENSP00000432784</t>
  </si>
  <si>
    <t>ENST00000503791,ENST00000380958,ENST00000399613,ENST00000483842</t>
  </si>
  <si>
    <t>ENSP00000370345,ENSP00000382522</t>
  </si>
  <si>
    <t>ENST00000247815,ENST00000440906,ENST00000542394,ENST00000545134,ENST00000545455,ENST00000536862</t>
  </si>
  <si>
    <t>ENSP00000247815,ENSP00000396955,ENSP00000439617,ENSP00000443287</t>
  </si>
  <si>
    <t>NR_026839,NR_026838,NR_026842,NR_026841,NR_026840</t>
  </si>
  <si>
    <t>-,-,-,-,-</t>
  </si>
  <si>
    <t>ENST00000478613,ENST00000469658,ENST00000400477,ENST00000495344,ENST00000465532,ENST00000357704,ENST00000472602,ENST00000614538</t>
  </si>
  <si>
    <t>ENSP00000383325,ENSP00000350336,ENSP00000480061</t>
  </si>
  <si>
    <t>Homo sapiens family with sequence similarity 160, member B1 (FAM160B1)</t>
  </si>
  <si>
    <t>ENST00000369248,ENST00000369250,ENST00000369246,ENST00000411414</t>
  </si>
  <si>
    <t>ENSP00000358251,ENSP00000358253,ENSP00000358249,ENSP00000411924</t>
  </si>
  <si>
    <t>Homo sapiens palladin, cytoskeletal associated protein (PALLD)</t>
  </si>
  <si>
    <t>NM_001166110,NM_001166109,NM_001166108,NM_016081</t>
  </si>
  <si>
    <t>NP_001159582.1,NP_001159581.1,NP_001159580.1,NP_057165.3</t>
  </si>
  <si>
    <t>ENST00000261509,ENST00000505667,ENST00000511948,ENST00000508898,ENST00000504519,ENST00000512127,ENST00000513245,ENST00000503457,ENST00000510998,ENST00000393726,ENST00000507735,ENST00000511611,ENST00000507325,ENST00000513187,ENST00000507699,ENST00000511682,ENST00000503290</t>
  </si>
  <si>
    <t>ENSP00000261509,ENSP00000425556,ENSP00000423640,ENSP00000423063,ENSP00000424121,ENSP00000426947,ENSP00000422016,ENSP00000424288,ENSP00000422135,ENSP00000377327,ENSP00000424016,ENSP00000425729</t>
  </si>
  <si>
    <t>Homo sapiens bromodomain adjacent to zinc finger domain, 1B (BAZ1B)</t>
  </si>
  <si>
    <t>ENST00000339594,ENST00000404251,ENST00000466844</t>
  </si>
  <si>
    <t>ENSP00000342434,ENSP00000385442</t>
  </si>
  <si>
    <t>NM_001128211,NM_032869</t>
  </si>
  <si>
    <t>NP_001121683.1,NP_116258.2</t>
  </si>
  <si>
    <t>ENST00000239690,ENST00000427660,ENST00000519607,ENST00000521439</t>
  </si>
  <si>
    <t>ENSP00000239690,ENSP00000410707,ENSP00000430095,ENSP00000430859</t>
  </si>
  <si>
    <t>ENST00000309558,ENST00000412539</t>
  </si>
  <si>
    <t>ENSP00000308727,ENSP00000406475</t>
  </si>
  <si>
    <t>ENST00000358951,ENST00000491005,ENST00000474966,ENST00000491305,ENST00000478976,ENST00000237724,ENST00000484658,ENST00000474178,ENST00000475769,ENST00000462353</t>
  </si>
  <si>
    <t>ENSP00000351832,ENSP00000418560,ENSP00000420156</t>
  </si>
  <si>
    <t>ENST00000220763,ENST00000519900,ENST00000517742,ENST00000525310,ENST00000519484,ENST00000521142,ENST00000522617,ENST00000532528,ENST00000529551</t>
  </si>
  <si>
    <t>ENSP00000220763,ENSP00000431024,ENSP00000429146,ENSP00000431114,ENSP00000429934,ENSP00000429134</t>
  </si>
  <si>
    <t>NM_001199092,NM_001199091,NM_173533,NM_001199089,NM_001199085</t>
  </si>
  <si>
    <t>NP_001186021.1,NP_001186020.1,NP_775804.2,NP_001186018.1,NP_001186014.1</t>
  </si>
  <si>
    <t>ENST00000367614,ENST00000294848,ENST00000417329,ENST00000444136</t>
  </si>
  <si>
    <t>ENSP00000356586,ENSP00000294848,ENSP00000410744,ENSP00000406052</t>
  </si>
  <si>
    <t>NM_145322,NM_145321,NM_145320,NM_015550</t>
  </si>
  <si>
    <t>NP_663162.1,NP_663161.1,NP_663160.1,NP_056365.1</t>
  </si>
  <si>
    <t>ENST00000313367,ENST00000409863,ENST00000396431,ENST00000409452,ENST00000409759,ENST00000487020,ENST00000409555,ENST00000396429,ENST00000409069,ENST00000459987,ENST00000461835,ENST00000415162,ENST00000441059,ENST00000415952</t>
  </si>
  <si>
    <t>ENSP00000315410,ENSP00000386429,ENSP00000379708,ENSP00000386801,ENSP00000386325,ENSP00000386990,ENSP00000379706,ENSP00000386953,ENSP00000407829,ENSP00000403374,ENSP00000411249</t>
  </si>
  <si>
    <t>ENST00000370397,ENST00000590930,ENST00000588656,ENST00000585551</t>
  </si>
  <si>
    <t>ENST00000487143,ENST00000355999,ENST00000461000</t>
  </si>
  <si>
    <t>Homo sapiens cytochrome P450, family 27, subfamily B, polypeptide 1 (CYP27B1)</t>
  </si>
  <si>
    <t>ENST00000547344,ENST00000228606,ENST00000546567,ENST00000547451,ENST00000546609,ENST00000552186,ENST00000546496</t>
  </si>
  <si>
    <t>ENSP00000228606,ENSP00000449472,ENSP00000476959</t>
  </si>
  <si>
    <t>ENST00000525497,ENST00000534061,ENST00000527493,ENST00000529090,ENST00000524501,ENST00000321955,ENST00000525171,ENST00000375944,ENST00000526637,ENST00000532691</t>
  </si>
  <si>
    <t>ENSP00000431989,ENSP00000432481,ENSP00000433710,ENSP00000320083,ENSP00000435249,ENSP00000365111,ENSP00000435670</t>
  </si>
  <si>
    <t>Homo sapiens caspase recruitment domain family, member 6 (CARD6)</t>
  </si>
  <si>
    <t>ENST00000254691,ENST00000381677</t>
  </si>
  <si>
    <t>ENSP00000254691,ENSP00000371093</t>
  </si>
  <si>
    <t>ENST00000517939,ENST00000517781,ENST00000276659,ENST00000521502,ENST00000521757,ENST00000521956,ENST00000520026,ENST00000522333</t>
  </si>
  <si>
    <t>ENSP00000428940,ENSP00000427937,ENSP00000276659,ENSP00000428614,ENSP00000430485,ENSP00000430010,ENSP00000429159,ENSP00000430973</t>
  </si>
  <si>
    <t>ENST00000554882,ENST00000555843,ENST00000553700,ENST00000556281,ENST00000557695,ENST00000555311,ENST00000553957,ENST00000557321,ENST00000554027,ENST00000555915,ENST00000556004,ENST00000557369,ENST00000554850,ENST00000556224,ENST00000554471,ENST00000553616,ENST00000556474,ENST00000399332,ENST00000611816</t>
  </si>
  <si>
    <t>ENSP00000451260,ENSP00000450697,ENSP00000451860,ENSP00000450920,ENSP00000452233,ENSP00000452015,ENSP00000479695,ENSP00000382269,ENSP00000484981</t>
  </si>
  <si>
    <t>NM_001114394,NM_001114393,NM_173797</t>
  </si>
  <si>
    <t>NP_001107866.1,NP_001107865.1,NP_776158.2</t>
  </si>
  <si>
    <t>ENST00000505571,ENST00000423041,ENST00000504233,ENST00000515807,ENST00000502269,ENST00000296783,ENST00000508620,ENST00000514095,ENST00000503620,ENST00000509227,ENST00000504982,ENST00000513735,ENST00000515298,ENST00000510721,ENST00000505770,ENST00000428308,ENST00000453514</t>
  </si>
  <si>
    <t>ENSP00000393412,ENSP00000421966,ENSP00000296783,ENSP00000396861,ENSP00000397563</t>
  </si>
  <si>
    <t>NM_152748,NM_001142749</t>
  </si>
  <si>
    <t>NP_689961.3,NP_001136221.1</t>
  </si>
  <si>
    <t>ENST00000450689,ENST00000444627,ENST00000394714,ENST00000416314,ENST00000480216,ENST00000423294,ENST00000427812,ENST00000470853,ENST00000490995,ENST00000474609,ENST00000398276,ENST00000425689</t>
  </si>
  <si>
    <t>ENSP00000413445,ENSP00000397377,ENSP00000378203,ENSP00000402390,ENSP00000406961,ENSP00000387496,ENSP00000381325,ENSP00000410045</t>
  </si>
  <si>
    <t>Homo sapiens protein tyrosine phosphatase type IVA, member 1 (PTP4A1)</t>
  </si>
  <si>
    <t>ENST00000470661,ENST00000370651,ENST00000578299,ENST00000473334,ENST00000626021,ENST00000627002</t>
  </si>
  <si>
    <t>ENSP00000359685,ENSP00000462406,ENSP00000485687,ENSP00000487586</t>
  </si>
  <si>
    <t>NM_001206856,NM_032156,NM_001002259,NM_023925,NR_038177</t>
  </si>
  <si>
    <t>NP_001193785.1,NP_115532.3,NP_001002259.1,NP_076414.2,-</t>
  </si>
  <si>
    <t>ENST00000537553,ENST00000433722,ENST00000548676,ENST00000298892,ENST00000454014,ENST00000395805,ENST00000417045,ENST00000614865,ENST00000620681,ENST00000537108,ENST00000553026,ENST00000538387,ENST00000534897,ENST00000541765,ENST00000543380,ENST00000546129,ENST00000542550,ENST00000540436,ENST00000540584</t>
  </si>
  <si>
    <t>ENSP00000443145,ENSP00000415407,ENSP00000449139,ENSP00000298892,ENSP00000403876,ENSP00000379150,ENSP00000391479,ENSP00000438010,ENSP00000444137,ENSP00000440785,ENSP00000443353,ENSP00000442295,ENSP00000441005</t>
  </si>
  <si>
    <t>Homo sapiens NUF2, NDC80 kinetochore complex component (NUF2)</t>
  </si>
  <si>
    <t>NM_145697,NM_031423</t>
  </si>
  <si>
    <t>NP_663735.2,NP_113611.2</t>
  </si>
  <si>
    <t>ENST00000534289,ENST00000450453,ENST00000524800,ENST00000442820,ENST00000367900,ENST00000271452,ENST00000490881,ENST00000487578,ENST00000497990,ENST00000527439,ENST00000527120,ENST00000531529</t>
  </si>
  <si>
    <t>ENSP00000433533,ENSP00000403252,ENSP00000436888,ENSP00000392652,ENSP00000356875,ENSP00000271452,ENSP00000436473</t>
  </si>
  <si>
    <t>NM_032941,NM_002907</t>
  </si>
  <si>
    <t>NP_116559.1,NP_002898.2</t>
  </si>
  <si>
    <t>ENST00000444129,ENST00000421138,ENST00000396093,ENST00000314748,ENST00000542432,ENST00000536240,ENST00000536964,ENST00000539672</t>
  </si>
  <si>
    <t>ENSP00000416739,ENSP00000395449,ENSP00000379400,ENSP00000318727,ENSP00000445555,ENSP00000439069,ENSP00000446036,ENSP00000440700</t>
  </si>
  <si>
    <t>Homo sapiens solute carrier family 35, member A5 (SLC35A5)</t>
  </si>
  <si>
    <t>ENST00000484995,ENST00000492406,ENST00000468642,ENST00000261034,ENST00000460713,ENST00000494706,ENST00000460615</t>
  </si>
  <si>
    <t>ENSP00000419958,ENSP00000417654,ENSP00000418265,ENSP00000261034,ENSP00000420398</t>
  </si>
  <si>
    <t>Homo sapiens cytochrome P450, family 4, subfamily V, polypeptide 2 (CYP4V2)</t>
  </si>
  <si>
    <t>ENST00000378802,ENST00000507209,ENST00000513354,ENST00000502665</t>
  </si>
  <si>
    <t>ENST00000259154,ENST00000448333,ENST00000452413,ENST00000495537,ENST00000465650</t>
  </si>
  <si>
    <t>ENSP00000259154,ENSP00000396726,ENSP00000399962</t>
  </si>
  <si>
    <t>Homo sapiens diacylglycerol kinase, epsilon 64kDa (DGKE)</t>
  </si>
  <si>
    <t>ENST00000284061,ENST00000572810,ENST00000576869,ENST00000572944,ENST00000571084,ENST00000570738</t>
  </si>
  <si>
    <t>ENSP00000284061,ENSP00000459295,ENSP00000458493,ENSP00000459958</t>
  </si>
  <si>
    <t>Homo sapiens nuclear cap binding protein subunit 2, 20kDa (NCBP2)</t>
  </si>
  <si>
    <t>NM_001042540,NM_007362</t>
  </si>
  <si>
    <t>NP_001036005.1,NP_031388.2</t>
  </si>
  <si>
    <t>ENST00000467803,ENST00000447325,ENST00000463783,ENST00000321256,ENST00000428425,ENST00000427641,ENST00000452404,ENST00000468923,ENST00000422610,ENST00000411704,ENST00000479647,ENST00000482976,ENST00000455953</t>
  </si>
  <si>
    <t>ENSP00000413518,ENSP00000326806,ENSP00000414122,ENSP00000397619,ENSP00000412785,ENSP00000394105,ENSP00000389315,ENSP00000402549</t>
  </si>
  <si>
    <t>NM_001251962,NM_001251963,NM_015595</t>
  </si>
  <si>
    <t>NP_001238891.1,NP_001238892.1,NP_056410.3</t>
  </si>
  <si>
    <t>ENST00000356448,ENST00000465093,ENST00000496710,ENST00000465817,ENST00000483068</t>
  </si>
  <si>
    <t>ENSP00000348828,ENSP00000423418,ENSP00000424446,ENSP00000423295</t>
  </si>
  <si>
    <t>NM_032116,NM_001014380</t>
  </si>
  <si>
    <t>NP_115492.1,NP_001014402.1</t>
  </si>
  <si>
    <t>ENST00000380615,ENST00000380617,ENST00000480854,ENST00000414289,ENST00000441394</t>
  </si>
  <si>
    <t>ENSP00000369989,ENSP00000369991,ENSP00000397776,ENSP00000407792</t>
  </si>
  <si>
    <t>ENST00000518156,ENST00000493273,ENST00000555308</t>
  </si>
  <si>
    <t>ENSP00000428480,ENSP00000451635</t>
  </si>
  <si>
    <t>ENST00000317995,ENST00000524872,ENST00000528666,ENST00000529918</t>
  </si>
  <si>
    <t>Homo sapiens family with sequence similarity 84, member A (FAM84A)</t>
  </si>
  <si>
    <t>ENST00000295092,ENST00000331243,ENST00000497769,ENST00000464947</t>
  </si>
  <si>
    <t>ENSP00000295092,ENSP00000330681</t>
  </si>
  <si>
    <t>Homo sapiens isoleucyl-tRNA synthetase 2, mitochondrial (IARS2)</t>
  </si>
  <si>
    <t>ENST00000366922,ENST00000490891,ENST00000488777,ENST00000467924</t>
  </si>
  <si>
    <t>Homo sapiens transient receptor potential cation channel, subfamily C, member 4 (TRPC4)</t>
  </si>
  <si>
    <t>NM_001135958,NM_001135957,NM_001135956,NM_001135955,NM_003306,NM_016179</t>
  </si>
  <si>
    <t>NP_001129430.1,NP_001129429.1,NP_001129428.1,NP_001129427.1,NP_003297.1,NP_057263.1</t>
  </si>
  <si>
    <t>ENST00000379705,ENST00000625583,ENST00000379679,ENST00000488717,ENST00000355779,ENST00000358477,ENST00000379673,ENST00000494529,ENST00000338947,ENST00000426868</t>
  </si>
  <si>
    <t>ENSP00000369027,ENSP00000486109,ENSP00000369001,ENSP00000435969,ENSP00000348025,ENSP00000351264,ENSP00000368995,ENSP00000342580,ENSP00000410133</t>
  </si>
  <si>
    <t>ENST00000220597,ENST00000523463,ENST00000522811,ENST00000519326</t>
  </si>
  <si>
    <t>ENST00000529805,ENST00000301919,ENST00000530788,ENST00000534458,ENST00000530108,ENST00000617528</t>
  </si>
  <si>
    <t>ENSP00000304713,ENSP00000435125,ENSP00000432245,ENSP00000435372,ENSP00000482795</t>
  </si>
  <si>
    <t>ENST00000379068,ENST00000379059,ENST00000493342,ENST00000480125,ENST00000494204,ENST00000611764</t>
  </si>
  <si>
    <t>ENSP00000368358,ENSP00000368349,ENSP00000478401</t>
  </si>
  <si>
    <t>NM_003794,NR_073435</t>
  </si>
  <si>
    <t>NP_003785.1,-</t>
  </si>
  <si>
    <t>ENST00000251775,ENST00000471751,ENST00000482965,ENST00000473417,ENST00000465505</t>
  </si>
  <si>
    <t>ENSP00000251775,ENSP00000420526,ENSP00000420175</t>
  </si>
  <si>
    <t>NM_004856,NM_138555</t>
  </si>
  <si>
    <t>NP_004847.2,NP_612565.1</t>
  </si>
  <si>
    <t>ENST00000559279,ENST00000395392,ENST00000352331,ENST00000561089,ENST00000558346,ENST00000560042,ENST00000558585,ENST00000559283,ENST00000559456,ENST00000558303,ENST00000560125,ENST00000559944,ENST00000260363</t>
  </si>
  <si>
    <t>ENSP00000453386,ENSP00000378790,ENSP00000304978,ENSP00000453629,ENSP00000453576,ENSP00000453102,ENSP00000452901,ENSP00000260363</t>
  </si>
  <si>
    <t>ENST00000469520,ENST00000354807,ENST00000482136,ENST00000463953,ENST00000498791,ENST00000480959,ENST00000548668,ENST00000498237,ENST00000544404,ENST00000414869,ENST00000322067</t>
  </si>
  <si>
    <t>ENSP00000446828,ENSP00000346862,ENSP00000446953,ENSP00000446850,ENSP00000448740,ENSP00000449883,ENSP00000444398,ENSP00000410348,ENSP00000318852</t>
  </si>
  <si>
    <t>Homo sapiens transient receptor potential cation channel, subfamily M, member 6 (TRPM6)</t>
  </si>
  <si>
    <t>NM_001177311,NM_001177310,NM_017662</t>
  </si>
  <si>
    <t>NP_001170782.1,NP_001170781.1,NP_060132.3</t>
  </si>
  <si>
    <t>ENST00000360774,ENST00000483186,ENST00000359047,ENST00000361255,ENST00000449912</t>
  </si>
  <si>
    <t>ENSP00000354006,ENSP00000351942,ENSP00000354962,ENSP00000396672</t>
  </si>
  <si>
    <t>ENST00000590751,ENST00000593133,ENST00000451802,ENST00000358744,ENST00000590390,ENST00000328550</t>
  </si>
  <si>
    <t>ENSP00000468192,ENSP00000467572,ENSP00000392638,ENSP00000351594,ENSP00000466225,ENSP00000333660</t>
  </si>
  <si>
    <t>Homo sapiens protein phosphatase 3, catalytic subunit, alpha isozyme (PPP3CA)</t>
  </si>
  <si>
    <t>NM_001130692,NM_000944,NM_001130691</t>
  </si>
  <si>
    <t>NP_001124164.1,NP_000935.1,NP_001124163.1</t>
  </si>
  <si>
    <t>ENST00000512215,ENST00000394854,ENST00000323055,ENST00000394853,ENST00000507176,ENST00000492351,ENST00000510292,ENST00000529324,ENST00000525819</t>
  </si>
  <si>
    <t>ENSP00000422781,ENSP00000378323,ENSP00000320580,ENSP00000378322,ENSP00000422990,ENSP00000426565,ENSP00000431619,ENSP00000434599</t>
  </si>
  <si>
    <t>Homo sapiens B double prime 1, subunit of RNA polymerase III transcription initiation factor IIIB (BDP1)</t>
  </si>
  <si>
    <t>ENST00000611966,ENST00000627808,ENST00000628596,ENST00000628099,ENST00000627715,ENST00000613844</t>
  </si>
  <si>
    <t>ENSP00000482112,ENSP00000485731,ENSP00000487333,ENSP00000480411</t>
  </si>
  <si>
    <t>ENST00000230640,ENST00000504388,ENST00000506750,ENST00000503165,ENST00000504997,ENST00000505565,ENST00000502953,ENST00000518955,ENST00000508716</t>
  </si>
  <si>
    <t>ENSP00000230640,ENSP00000425042,ENSP00000422125,ENSP00000426641</t>
  </si>
  <si>
    <t>Homo sapiens G elongation factor, mitochondrial 1 (GFM1)</t>
  </si>
  <si>
    <t>ENST00000486715,ENST00000478576,ENST00000478254,ENST00000264263,ENST00000464732,ENST00000478251,ENST00000312756,ENST00000490261,ENST00000477721,ENST00000481468,ENST00000472383</t>
  </si>
  <si>
    <t>ENSP00000419038,ENSP00000418755,ENSP00000417225,ENSP00000264263,ENSP00000417532,ENSP00000420272</t>
  </si>
  <si>
    <t>ENST00000512729,ENST00000326754,ENST00000503475,ENST00000503141,ENST00000511771,ENST00000502707,ENST00000394461</t>
  </si>
  <si>
    <t>ENSP00000422581,ENSP00000317498,ENSP00000421575,ENSP00000426074</t>
  </si>
  <si>
    <t>NM_001130082,NM_002673</t>
  </si>
  <si>
    <t>NP_001123554.1,NP_002664.2</t>
  </si>
  <si>
    <t>ENST00000296440,ENST00000485535,ENST00000358536,ENST00000456774,ENST00000483753,ENST00000497627,ENST00000483676,ENST00000478171,ENST00000470525,ENST00000461261,ENST00000473996,ENST00000449094,ENST00000465117,ENST00000467913,ENST00000464294,ENST00000484485,ENST00000462738,ENST00000466353,ENST00000473683</t>
  </si>
  <si>
    <t>ENSP00000296440,ENSP00000351338,ENSP00000414199,ENSP00000395987</t>
  </si>
  <si>
    <t>ENST00000406462,ENST00000435987,ENST00000435475,ENST00000446797,ENST00000441735,ENST00000264126</t>
  </si>
  <si>
    <t>ENSP00000385510,ENSP00000408664,ENSP00000401948,ENSP00000392138,ENSP00000390629,ENSP00000264126</t>
  </si>
  <si>
    <t>NM_205842,NM_013436</t>
  </si>
  <si>
    <t>NP_995314.1,NP_038464.1</t>
  </si>
  <si>
    <t>ENST00000361354,ENST00000360982,ENST00000477988,ENST00000478449,ENST00000471640,ENST00000492058,ENST00000493359,ENST00000495619</t>
  </si>
  <si>
    <t>ENSP00000355348,ENSP00000354251</t>
  </si>
  <si>
    <t>Homo sapiens tankyrase, TRF1-interacting ankyrin-related ADP-ribose polymerase 2 (TNKS2)</t>
  </si>
  <si>
    <t>ENST00000327451,ENST00000399813,ENST00000496051,ENST00000467228,ENST00000497401,ENST00000469889</t>
  </si>
  <si>
    <t>ENSP00000329033,ENSP00000382710</t>
  </si>
  <si>
    <t>NM_001204178,NM_001204177,NM_001204176,NM_001204175,NM_001204174,NM_024944</t>
  </si>
  <si>
    <t>NP_001191107.1,NP_001191106.1,NP_001191105.1,NP_001191104.1,NP_001191103.1,NP_079220.2</t>
  </si>
  <si>
    <t>ENST00000400128,ENST00000400131,ENST00000400135,ENST00000400127,ENST00000299295,ENST00000543733,ENST00000338326</t>
  </si>
  <si>
    <t>ENSP00000382993,ENSP00000382996,ENSP00000383001,ENSP00000382992,ENSP00000299295,ENSP00000443566,ENSP00000339975</t>
  </si>
  <si>
    <t>ENST00000381944,ENST00000217254,ENST00000473664,ENST00000488495,ENST00000632431</t>
  </si>
  <si>
    <t>ENSP00000371370,ENSP00000217254,ENSP00000488723</t>
  </si>
  <si>
    <t>ENST00000396073,ENST00000472597,ENST00000472903,ENST00000509221</t>
  </si>
  <si>
    <t>ENST00000286574,ENST00000543094,ENST00000546001</t>
  </si>
  <si>
    <t>ENSP00000286574,ENSP00000439024,ENSP00000442063</t>
  </si>
  <si>
    <t>Homo sapiens pleckstrin homology domain containing, family H (with MyTH4 domain)</t>
  </si>
  <si>
    <t>ENST00000329153,ENST00000558386,ENST00000561456,ENST00000558981,ENST00000557971,ENST00000561135,ENST00000561370,ENST00000558296,ENST00000560100,ENST00000558366,ENST00000559981,ENST00000561057,ENST00000559766,ENST00000559832,ENST00000559168,ENST00000558214</t>
  </si>
  <si>
    <t>ENSP00000330278,ENSP00000452988,ENSP00000453343,ENSP00000453699</t>
  </si>
  <si>
    <t>Homo sapiens interleukin 13 receptor, alpha 1 (IL13RA1)</t>
  </si>
  <si>
    <t>ENST00000371666,ENST00000371642,ENST00000481868</t>
  </si>
  <si>
    <t>ENSP00000360730,ENSP00000360705</t>
  </si>
  <si>
    <t>NM_032547,NM_001153690,NM_001153663,NM_001153635,NM_001153585,NM_001153552,NM_001153484,NM_001153446</t>
  </si>
  <si>
    <t>NP_115936.2,NP_001147162.1,NP_001147135.1,NP_001147107.1,NP_001147057.1,NP_001147024.1,NP_001146956.1,NP_001146918.1</t>
  </si>
  <si>
    <t>ENST00000394205,ENST00000338517,ENST00000506322,ENST00000512749,ENST00000608372,ENST00000506597,ENST00000394201,ENST00000510586,ENST00000502535,ENST00000614192,ENST00000394203</t>
  </si>
  <si>
    <t>ENSP00000377755,ENSP00000345262,ENSP00000426810,ENSP00000424605,ENSP00000477352,ENSP00000426649,ENSP00000377751,ENSP00000424688,ENSP00000421355,ENSP00000477812,ENSP00000377753</t>
  </si>
  <si>
    <t>Homo sapiens pleckstrin homology domain containing, family A (phosphoinositide binding specific)</t>
  </si>
  <si>
    <t>NM_001195608,NM_021622,NM_001001974</t>
  </si>
  <si>
    <t>NP_001182537.1,NP_067635.2,NP_001001974.1</t>
  </si>
  <si>
    <t>ENST00000494222,ENST00000368990,ENST00000368989,ENST00000463663,ENST00000392799,ENST00000481451,ENST00000368988,ENST00000433307</t>
  </si>
  <si>
    <t>ENSP00000357986,ENSP00000357985,ENSP00000473424,ENSP00000376547,ENSP00000357984,ENSP00000394416</t>
  </si>
  <si>
    <t>ENST00000375807,ENST00000339901,ENST00000470305,ENST00000425851,ENST00000440898,ENST00000477484,ENST00000498819,ENST00000496597,ENST00000534113</t>
  </si>
  <si>
    <t>ENSP00000364965,ENSP00000364959,ENSP00000414288,ENSP00000411573,ENSP00000436650</t>
  </si>
  <si>
    <t>ENST00000333274,ENST00000510359,ENST00000509503,ENST00000504941,ENST00000505499,ENST00000611503</t>
  </si>
  <si>
    <t>ENSP00000328777,ENSP00000426989,ENSP00000484681</t>
  </si>
  <si>
    <t>Homo sapiens consortin, connexin sorting protein (CNST)</t>
  </si>
  <si>
    <t>ENST00000483271,ENST00000366513,ENST00000366512,ENST00000366511</t>
  </si>
  <si>
    <t>ENSP00000355470,ENSP00000355469,ENSP00000355468</t>
  </si>
  <si>
    <t>ENST00000240922,ENST00000477813,ENST00000497525,ENST00000497255,ENST00000493454,ENST00000481432,ENST00000493900,ENST00000478020,ENST00000467022,ENST00000616174,ENST00000630058</t>
  </si>
  <si>
    <t>ENSP00000240922,ENSP00000417110,ENSP00000417488,ENSP00000418490,ENSP00000418473,ENSP00000418323,ENSP00000417837,ENSP00000419729,ENSP00000480264,ENSP00000486244</t>
  </si>
  <si>
    <t>NM_001134470,NM_173552</t>
  </si>
  <si>
    <t>NP_001127942.1,NP_775823.1</t>
  </si>
  <si>
    <t>ENST00000315691,ENST00000493396,ENST00000491798,ENST00000483808,ENST00000495414,ENST00000492452,ENST00000441925</t>
  </si>
  <si>
    <t>ENSP00000320081,ENSP00000417382,ENSP00000419947,ENSP00000390796</t>
  </si>
  <si>
    <t>NM_001201574,NM_001201573,NM_025152</t>
  </si>
  <si>
    <t>NP_001188503.1,NP_001188502.1,NP_079428.2</t>
  </si>
  <si>
    <t>ENST00000550005,ENST00000552814,ENST00000550649,ENST00000281081,ENST00000547839,ENST00000548937,ENST00000552489,ENST00000549838,ENST00000550355,ENST00000551314,ENST00000418681,ENST00000551015,ENST00000552888</t>
  </si>
  <si>
    <t>ENSP00000446511,ENSP00000447618,ENSP00000281081,ENSP00000449918,ENSP00000447316,ENSP00000447658,ENSP00000447234</t>
  </si>
  <si>
    <t>ENST00000503787,ENST00000511617,ENST00000506123,ENST00000296734,ENST00000515370,ENST00000502733,ENST00000514317,ENST00000505096</t>
  </si>
  <si>
    <t>ENSP00000423822,ENSP00000296734,ENSP00000427466</t>
  </si>
  <si>
    <t>NM_001256166,NM_001256163,NM_001166</t>
  </si>
  <si>
    <t>NP_001243095.1,NP_001243092.1,NP_001157.1</t>
  </si>
  <si>
    <t>ENST00000527808,ENST00000532832,ENST00000530675,ENST00000534646,ENST00000533742,ENST00000227758,ENST00000532672,ENST00000531259,ENST00000527465,ENST00000527910,ENST00000528344,ENST00000534130,ENST00000613397,ENST00000621637</t>
  </si>
  <si>
    <t>ENSP00000432410,ENSP00000431723,ENSP00000433851,ENSP00000227758,ENSP00000434979,ENSP00000436741,ENSP00000434708,ENSP00000434557,ENSP00000477613,ENSP00000484838</t>
  </si>
  <si>
    <t>Homo sapiens protein phosphatase, Mg2+/Mn2+ dependent, 1K (PPM1K)</t>
  </si>
  <si>
    <t>ENST00000608933,ENST00000295908,ENST00000508256,ENST00000510548,ENST00000511506,ENST00000506423,ENST00000513546,ENST00000514204,ENST00000505022,ENST00000509340</t>
  </si>
  <si>
    <t>ENSP00000477341,ENSP00000295908,ENSP00000476452,ENSP00000476789,ENSP00000477241,ENSP00000477051,ENSP00000477211</t>
  </si>
  <si>
    <t>ENST00000582937,ENST00000302079,ENST00000538948,ENST00000580640,ENST00000503781,ENST00000582913,ENST00000581680,ENST00000579151,ENST00000579949,ENST00000578145,ENST00000583325,ENST00000579112,ENST00000579899,ENST00000383408</t>
  </si>
  <si>
    <t>ENSP00000462187,ENSP00000303316,ENSP00000443129,ENSP00000463094,ENSP00000421377,ENSP00000462115,ENSP00000477311,ENSP00000462560,ENSP00000463589,ENSP00000372900</t>
  </si>
  <si>
    <t>NM_001040285,NM_001040284</t>
  </si>
  <si>
    <t>NP_001035375.2,NP_001035374.2</t>
  </si>
  <si>
    <t>ENST00000436909,ENST00000561678,ENST00000562717,ENST00000357464</t>
  </si>
  <si>
    <t>ENSP00000396995,ENSP00000455837,ENSP00000350054</t>
  </si>
  <si>
    <t>Homo sapiens family with sequence similarity 168, member B (FAM168B)</t>
  </si>
  <si>
    <t>ENST00000409185,ENST00000389915</t>
  </si>
  <si>
    <t>ENSP00000387051,ENSP00000374565</t>
  </si>
  <si>
    <t>ENST00000592844,ENST00000589799,ENST00000589248,ENST00000587921,ENST00000291182,ENST00000591609,ENST00000616224</t>
  </si>
  <si>
    <t>ENSP00000465641,ENSP00000468695,ENSP00000468609,ENSP00000291182,ENSP00000465880,ENSP00000484268</t>
  </si>
  <si>
    <t>Homo sapiens solute carrier family 38, member 2 (SLC38A2)</t>
  </si>
  <si>
    <t>ENST00000256689,ENST00000549258,ENST00000551374,ENST00000552703,ENST00000546520,ENST00000548785,ENST00000548111,ENST00000548236,ENST00000552414,ENST00000548870,ENST00000547252,ENST00000551405,ENST00000553252,ENST00000612232</t>
  </si>
  <si>
    <t>ENSP00000256689,ENSP00000449695,ENSP00000450406,ENSP00000482873</t>
  </si>
  <si>
    <t>NM_001135095,NM_022763</t>
  </si>
  <si>
    <t>NP_001128567.1,NP_073600.3</t>
  </si>
  <si>
    <t>ENST00000421757,ENST00000415807,ENST00000469491,ENST00000336824,ENST00000423424,ENST00000416957,ENST00000478016,ENST00000443501,ENST00000476794,ENST00000483344,ENST00000494000,ENST00000490832</t>
  </si>
  <si>
    <t>ENSP00000408496,ENSP00000411242,ENSP00000338523,ENSP00000392471,ENSP00000389094,ENSP00000389064</t>
  </si>
  <si>
    <t>ENST00000473118,ENST00000240185,ENST00000439080,ENST00000613864,ENST00000476201,ENST00000472476,ENST00000621715,ENST00000315091,ENST00000473869,ENST00000621790,ENST00000616545,ENST00000622057,ENST00000617172,ENST00000618606,ENST00000611963,ENST00000620632,ENST00000619555,ENST00000610369,ENST00000614494,ENST00000477447,ENST00000620505,ENST00000621573,ENST00000611008,ENST00000613177,ENST00000496840,ENST00000617757,ENST00000480464,ENST00000629725</t>
  </si>
  <si>
    <t>ENSP00000465240,ENSP00000240185,ENSP00000404666,ENSP00000466842,ENSP00000465080,ENSP00000480690,ENSP00000313129,ENSP00000432132,ENSP00000482191,ENSP00000484722,ENSP00000481206,ENSP00000479219,ENSP00000481330,ENSP00000480771,ENSP00000479978,ENSP00000482559,ENSP00000482754,ENSP00000465888,ENSP00000479758,ENSP00000477852,ENSP00000467020,ENSP00000486989</t>
  </si>
  <si>
    <t>Homo sapiens sodium channel, voltage gated, type III alpha subunit (SCN3A)</t>
  </si>
  <si>
    <t>NM_001081677,NM_001081676,NM_006922</t>
  </si>
  <si>
    <t>NP_001075146.1,NP_001075145.1,NP_008853.3</t>
  </si>
  <si>
    <t>ENST00000283254,ENST00000409101,ENST00000465043,ENST00000471697,ENST00000440431,ENST00000484898,ENST00000453007,ENST00000360093</t>
  </si>
  <si>
    <t>ENSP00000283254,ENSP00000386726,ENSP00000403348,ENSP00000391569,ENSP00000353206</t>
  </si>
  <si>
    <t>NM_015478,NM_032107</t>
  </si>
  <si>
    <t>NP_056293.4,NP_115479.4</t>
  </si>
  <si>
    <t>ENST00000434666,ENST00000427442,ENST00000439769,ENST00000373135,ENST00000473289,ENST00000468336,ENST00000430781,ENST00000373134,ENST00000457824,ENST00000473981,ENST00000485334,ENST00000422861,ENST00000445228,ENST00000497347,ENST00000373133,ENST00000483547,ENST00000494117,ENST00000471977,ENST00000418998</t>
  </si>
  <si>
    <t>ENSP00000415971,ENSP00000402107,ENSP00000387971,ENSP00000362227,ENSP00000362226,ENSP00000410139,ENSP00000412938,ENSP00000398516</t>
  </si>
  <si>
    <t>NM_007145,NM_001099639,NM_001099638</t>
  </si>
  <si>
    <t>NP_009076.2,NP_001093109.1,NP_001093108.1</t>
  </si>
  <si>
    <t>ENST00000591063,ENST00000586094,ENST00000443387,ENST00000587285,ENST00000456324</t>
  </si>
  <si>
    <t>ENSP00000392095,ENSP00000400391</t>
  </si>
  <si>
    <t>ENST00000312938,ENST00000471673,ENST00000461821</t>
  </si>
  <si>
    <t>ENSP00000326200,ENSP00000417369</t>
  </si>
  <si>
    <t>NM_001135703,NM_013437</t>
  </si>
  <si>
    <t>NP_001129175.1,NP_038465.1</t>
  </si>
  <si>
    <t>ENST00000424843,ENST00000276654,ENST00000518375,ENST00000523007,ENST00000522046,ENST00000520770,ENST00000519675</t>
  </si>
  <si>
    <t>ENSP00000399148,ENSP00000276654,ENSP00000429305</t>
  </si>
  <si>
    <t>ENST00000286298,ENST00000433184,ENST00000503336</t>
  </si>
  <si>
    <t>ENSP00000286298,ENSP00000405496,ENSP00000426053</t>
  </si>
  <si>
    <t>ENST00000396267,ENST00000331336</t>
  </si>
  <si>
    <t>ENSP00000379565,ENSP00000328017</t>
  </si>
  <si>
    <t>ENST00000332482,ENST00000333577,ENST00000389562,ENST00000611841,ENST00000330386,ENST00000611739,ENST00000616136,ENST00000611118,ENST00000389561</t>
  </si>
  <si>
    <t>ENSP00000331737,ENSP00000333602,ENSP00000374213,ENSP00000330620,ENSP00000374212</t>
  </si>
  <si>
    <t>NM_001172435,NM_012233</t>
  </si>
  <si>
    <t>NP_001165906.1,NP_036365.1</t>
  </si>
  <si>
    <t>ENST00000264158,ENST00000442034,ENST00000425393,ENST00000487003,ENST00000489858,ENST00000497080,ENST00000539493</t>
  </si>
  <si>
    <t>ENSP00000264158,ENSP00000411418,ENSP00000400761,ENSP00000444306</t>
  </si>
  <si>
    <t>ENST00000306270,ENST00000505222,ENST00000508381,ENST00000445419,ENST00000503400,ENST00000503631,ENST00000510291,ENST00000471036,ENST00000369751,ENST00000610980</t>
  </si>
  <si>
    <t>ENSP00000305721,ENSP00000422136,ENSP00000422762,ENSP00000426405,ENSP00000424634,ENSP00000478891</t>
  </si>
  <si>
    <t>ENST00000592288,ENST00000593195,ENST00000269197,ENST00000590189,ENST00000592541,ENST00000586596,ENST00000592349,ENST00000586948,ENST00000586327,ENST00000588038,ENST00000585426,ENST00000588741,ENST00000590225,ENST00000593235,ENST00000590973</t>
  </si>
  <si>
    <t>ENSP00000465053,ENSP00000466073,ENSP00000269197,ENSP00000468024,ENSP00000466655,ENSP00000465634,ENSP00000466244,ENSP00000468264,ENSP00000467648,ENSP00000466030,ENSP00000468533,ENSP00000467907,ENSP00000464931</t>
  </si>
  <si>
    <t>ENST00000261745,ENST00000552527,ENST00000548181,ENST00000549711,ENST00000550701,ENST00000551858,ENST00000547133,ENST00000548627</t>
  </si>
  <si>
    <t>ENSP00000261745,ENSP00000448200,ENSP00000446719,ENSP00000447676</t>
  </si>
  <si>
    <t>ENST00000607004,ENST00000370535,ENST00000498732,ENST00000602830,ENST00000602535</t>
  </si>
  <si>
    <t>ENST00000316316,ENST00000458674,ENST00000505485,ENST00000368478,ENST00000436788,ENST00000316068,ENST00000425154,ENST00000505446,ENST00000619706</t>
  </si>
  <si>
    <t>ENSP00000314505,ENSP00000406576,ENSP00000312870,ENSP00000394776,ENSP00000426890,ENSP00000480469</t>
  </si>
  <si>
    <t>Homo sapiens UTP3, small subunit (SSU)</t>
  </si>
  <si>
    <t>NM_019903,NM_001121,NM_016824</t>
  </si>
  <si>
    <t>NP_063968.1,NP_001112.2,NP_058432.1</t>
  </si>
  <si>
    <t>ENST00000468251,ENST00000360162,ENST00000356080,ENST00000277900,ENST00000487085,ENST00000484622,ENST00000459738,ENST00000495661,ENST00000497125,ENST00000475954,ENST00000496517,ENST00000473669,ENST00000468345,ENST00000486014,ENST00000488104,ENST00000488837,ENST00000472568,ENST00000492162,ENST00000488799,ENST00000479805,ENST00000611329</t>
  </si>
  <si>
    <t>ENSP00000353286,ENSP00000348381,ENSP00000277900,ENSP00000480646</t>
  </si>
  <si>
    <t>ENST00000510377,ENST00000307017,ENST00000511739</t>
  </si>
  <si>
    <t>ENSP00000427647,ENSP00000303434,ENSP00000424158</t>
  </si>
  <si>
    <t>ENST00000271588,ENST00000485744,ENST00000493413,ENST00000475585,ENST00000414277</t>
  </si>
  <si>
    <t>ENSP00000271588,ENSP00000406205</t>
  </si>
  <si>
    <t>Homo sapiens deltex 3 like, E3 ubiquitin ligase (DTX3L)</t>
  </si>
  <si>
    <t>ENST00000296161,ENST00000383661</t>
  </si>
  <si>
    <t>ENSP00000296161,ENSP00000373157</t>
  </si>
  <si>
    <t>NM_018061,NR_037185</t>
  </si>
  <si>
    <t>NP_060531.2,-</t>
  </si>
  <si>
    <t>ENST00000370025,ENST00000370022,ENST00000467302,ENST00000370021,ENST00000485810</t>
  </si>
  <si>
    <t>ENSP00000359042,ENSP00000359039,ENSP00000359038</t>
  </si>
  <si>
    <t>Homo sapiens potassium channel, voltage gated Shaw related subfamily C, member 2 (KCNC2)</t>
  </si>
  <si>
    <t>NM_001260499,NM_001260498,NM_001260497,NM_153748,NM_139137,NM_139136</t>
  </si>
  <si>
    <t>NP_001247428.1,NP_001247427.1,NP_001247426.1,NP_715624.1,NP_631875.1,NP_631874.1</t>
  </si>
  <si>
    <t>ENST00000550433,ENST00000548513,ENST00000549446,ENST00000350228,ENST00000540018,ENST00000393288,ENST00000548243,ENST00000546456,ENST00000298972</t>
  </si>
  <si>
    <t>ENSP00000448301,ENSP00000449941,ENSP00000449253,ENSP00000319877,ENSP00000438423,ENSP00000376966,ENSP00000298972</t>
  </si>
  <si>
    <t>ENST00000601372,ENST00000301475,ENST00000597304,ENST00000599938,ENST00000595786,ENST00000596172,ENST00000593891</t>
  </si>
  <si>
    <t>ENSP00000471277,ENSP00000301475</t>
  </si>
  <si>
    <t>ENSP00000267935,ENSP00000457693,ENSP00000455249,ENSP00000456440,ENSP00000340867,ENSP00000457348,ENSP00000433662,ENSP00000455303,ENSP00000455750,ENSP00000454283</t>
  </si>
  <si>
    <t>NM_006449,NM_001270438,NM_001270437,NM_001270436</t>
  </si>
  <si>
    <t>NP_006440.2,NP_001257367.1,NP_001257366.1,NP_001257365.1</t>
  </si>
  <si>
    <t>ENST00000295324,ENST00000457889,ENST00000453555,ENST00000422687,ENST00000494083,ENST00000611976</t>
  </si>
  <si>
    <t>ENSP00000295324,ENSP00000403298,ENSP00000398062,ENSP00000409147,ENSP00000480549</t>
  </si>
  <si>
    <t>ENST00000355086,ENST00000537556,ENST00000543397,ENST00000542381,ENST00000537585,ENST00000542841,ENST00000631006</t>
  </si>
  <si>
    <t>ENSP00000347198,ENSP00000437948,ENSP00000485752</t>
  </si>
  <si>
    <t>ENST00000288050,ENST00000561920,ENST00000398122,ENST00000568530,ENST00000565186,ENST00000562100,ENST00000569042,ENST00000563930,ENST00000567046,ENST00000564563,ENST00000567896</t>
  </si>
  <si>
    <t>ENSP00000288050,ENSP00000381190,ENSP00000457916,ENSP00000455764,ENSP00000457636,ENSP00000457961,ENSP00000456959,ENSP00000456385,ENSP00000457484</t>
  </si>
  <si>
    <t>ENST00000626874,ENST00000394196,ENST00000627622,ENST00000629346,ENST00000628375,ENST00000420239,ENST00000625990,ENST00000626782,ENST00000629136,ENST00000625243,ENST00000630016,ENST00000628181,ENST00000627200,ENST00000625463,ENST00000628118,ENST00000627185,ENST00000625662,ENST00000629104,ENST00000630813,ENST00000627460</t>
  </si>
  <si>
    <t>ENSP00000486629,ENSP00000377747,ENSP00000486926,ENSP00000487299,ENSP00000487577,ENSP00000406581,ENSP00000485890,ENSP00000486487,ENSP00000486417,ENSP00000486931,ENSP00000486391,ENSP00000486007,ENSP00000485681,ENSP00000485982</t>
  </si>
  <si>
    <t>ENST00000511051,ENST00000334304,ENST00000499527,ENST00000282943,ENST00000504617,ENST00000506155,ENST00000508133,ENST00000502482,ENST00000514129,ENST00000506133,ENST00000513385,ENST00000514749,ENST00000506346</t>
  </si>
  <si>
    <t>ENSP00000424927,ENSP00000334952,ENSP00000422606,ENSP00000421006,ENSP00000425223</t>
  </si>
  <si>
    <t>NM_144668,NM_001178003</t>
  </si>
  <si>
    <t>NP_653269.3,NP_001171474.1</t>
  </si>
  <si>
    <t>ENST00000288912,ENST00000397454,ENST00000540779,ENST00000546044,ENST00000543211,ENST00000535257,ENST00000545752,ENST00000428465,ENST00000545988</t>
  </si>
  <si>
    <t>ENSP00000288912,ENSP00000380595</t>
  </si>
  <si>
    <t>ENST00000378933,ENST00000378932,ENST00000467136,ENST00000378928,ENST00000288422,ENST00000378930</t>
  </si>
  <si>
    <t>ENSP00000368215,ENSP00000368214,ENSP00000433193,ENSP00000288422,ENSP00000368212</t>
  </si>
  <si>
    <t>ENST00000503565,ENST00000281142,ENST00000506233,ENST00000439369,ENST00000503215,ENST00000502495,ENST00000506368,ENST00000511426,ENST00000503401</t>
  </si>
  <si>
    <t>ENSP00000281142,ENSP00000395292,ENSP00000424029,ENSP00000424304,ENSP00000420861,ENSP00000425315</t>
  </si>
  <si>
    <t>ENST00000494372,ENST00000379649,ENST00000239878,ENST00000464423,ENST00000437952</t>
  </si>
  <si>
    <t>ENSP00000368970,ENSP00000239878,ENSP00000402378</t>
  </si>
  <si>
    <t>ENST00000261636,ENST00000539055,ENST00000536227,ENST00000551688,ENST00000550597,ENST00000551828,ENST00000551671,ENST00000551092,ENST00000549283,ENST00000549302,ENST00000548070</t>
  </si>
  <si>
    <t>ENSP00000261636,ENSP00000439590,ENSP00000441808,ENSP00000447405,ENSP00000448850,ENSP00000448912,ENSP00000450162,ENSP00000450315</t>
  </si>
  <si>
    <t>ENST00000359314,ENST00000477159,ENST00000463175,ENST00000479857,ENST00000486693</t>
  </si>
  <si>
    <t>Homo sapiens family with sequence similarity 73, member A (FAM73A)</t>
  </si>
  <si>
    <t>NM_001270384,NM_198549</t>
  </si>
  <si>
    <t>NP_001257313.1,NP_940951.1</t>
  </si>
  <si>
    <t>ENST00000370791,ENST00000477627,ENST00000476203,ENST00000443751</t>
  </si>
  <si>
    <t>ENSP00000359827,ENSP00000473285,ENSP00000393675</t>
  </si>
  <si>
    <t>ENSP00000452080,ENSP00000370630,ENSP00000450832,ENSP00000351352,ENSP00000440682,ENSP00000452450</t>
  </si>
  <si>
    <t>ENST00000619133,ENST00000615659,ENST00000620405,ENST00000619869,ENST00000622315,ENST00000610952,ENST00000621311,ENST00000606017</t>
  </si>
  <si>
    <t>ENSP00000483985,ENSP00000479895,ENSP00000478302,ENSP00000478460,ENSP00000481841,ENSP00000483838,ENSP00000475625</t>
  </si>
  <si>
    <t>Homo sapiens phosphatidylinositol glycan anchor biosynthesis, class W (PIGW)</t>
  </si>
  <si>
    <t>ENST00000632789,ENST00000631508,ENST00000616581</t>
  </si>
  <si>
    <t>ENSP00000488539,ENSP00000488033,ENSP00000481144</t>
  </si>
  <si>
    <t>Homo sapiens BMI1 proto-oncogene, polycomb ring finger (BMI1)|Homo sapiens COMMD3-BMI1 readthrough (COMMD3-BMI1)</t>
  </si>
  <si>
    <t>ENST00000376663,ENST00000602523,ENST00000456675,ENST00000442508,ENST00000416820,ENST00000602358,ENST00000602524,ENST00000443519,ENST00000496174,ENST00000490311|ENST00000475460,ENST00000602390,ENST00000489125,ENST00000463409,ENST00000417470,ENST00000602395</t>
  </si>
  <si>
    <t>ENSP00000365851,ENSP00000397912,ENSP00000399220,ENSP00000390768|ENSP00000473382,ENSP00000473391,ENSP00000473495,ENSP00000398759</t>
  </si>
  <si>
    <t>Homo sapiens C8orf44-SGK3 readthrough (C8orf44-SGK3)|Homo sapiens serum/glucocorticoid regulated kinase family, member 3 (SGK3)</t>
  </si>
  <si>
    <t>NM_001204173|NM_001033578,NM_170709,NM_013257</t>
  </si>
  <si>
    <t>NP_001191102.1|NP_001028750.1,NP_733827.2,NP_037389.4</t>
  </si>
  <si>
    <t>ENST00000520044,ENST00000519289|ENST00000521198,ENST00000523401,ENST00000494528,ENST00000521960,ENST00000522398,ENST00000522629,ENST00000520976,ENST00000518388,ENST00000345714,ENST00000519396,ENST00000521152,ENST00000521435,ENST00000523260,ENST00000396596</t>
  </si>
  <si>
    <t>ENSP00000429022|ENSP00000430463,ENSP00000430475,ENSP00000430256,ENSP00000429606,ENSP00000430691,ENSP00000428972,ENSP00000331816,ENSP00000428529,ENSP00000429565,ENSP00000379842</t>
  </si>
  <si>
    <t>NR_037879,NR_037880</t>
  </si>
  <si>
    <t>-,-</t>
  </si>
  <si>
    <t>NM_001256126,NM_203463</t>
  </si>
  <si>
    <t>NP_001243055.1,NP_982288.1</t>
  </si>
  <si>
    <t>ENST00000305747,ENST00000392687</t>
  </si>
  <si>
    <t>ENSP00000306579,ENSP00000376453</t>
  </si>
  <si>
    <t>ENST00000239231,ENST00000520504,ENST00000522176</t>
  </si>
  <si>
    <t>ENSP00000239231,ENSP00000428631</t>
  </si>
  <si>
    <t>NM_152655,NM_199126</t>
  </si>
  <si>
    <t>NP_689868.1,NP_954577.1</t>
  </si>
  <si>
    <t>ENST00000587817,ENST00000588723,ENST00000292841,ENST00000392157,ENST00000588354,ENST00000356958</t>
  </si>
  <si>
    <t>ENSP00000466825,ENSP00000292841,ENSP00000375998,ENSP00000466185,ENSP00000349440</t>
  </si>
  <si>
    <t>ENST00000447944,ENST00000415374,ENST00000260604,ENST00000481066,ENST00000415489,ENST00000429805,ENST00000625249</t>
  </si>
  <si>
    <t>ENSP00000400646,ENSP00000393953,ENSP00000260604,ENSP00000411057,ENSP00000411994,ENSP00000486227</t>
  </si>
  <si>
    <t>NM_001010932,NM_000601</t>
  </si>
  <si>
    <t>NP_001010932.1,NP_000592.3</t>
  </si>
  <si>
    <t>ENST00000222390,ENST00000457544,ENST00000444829,ENST00000453411,ENST00000423064,ENST00000465234,ENST00000453018,ENST00000412881,ENST00000421558,ENST00000354224</t>
  </si>
  <si>
    <t>ENSP00000222390,ENSP00000391238,ENSP00000389854,ENSP00000408270,ENSP00000413829,ENSP00000395468,ENSP00000396307,ENSP00000388592,ENSP00000346164</t>
  </si>
  <si>
    <t>Homo sapiens casein kinase 1, gamma 1 (CSNK1G1)</t>
  </si>
  <si>
    <t>ENST00000303052,ENST00000607537,ENST00000606225</t>
  </si>
  <si>
    <t>ENSP00000305777,ENSP00000475724,ENSP00000475325</t>
  </si>
  <si>
    <t>ENST00000393042,ENST00000342502,ENST00000299157</t>
  </si>
  <si>
    <t>ENSP00000376762,ENSP00000343471,ENSP00000299157</t>
  </si>
  <si>
    <t>Homo sapiens ATPase, class II, type 9A (ATP9A)</t>
  </si>
  <si>
    <t>ENST00000311637,ENST00000338821,ENST00000477492</t>
  </si>
  <si>
    <t>ENSP00000309086,ENSP00000342481</t>
  </si>
  <si>
    <t>NM_001127496,NM_030964</t>
  </si>
  <si>
    <t>NP_001120968.1,NP_112226.2</t>
  </si>
  <si>
    <t>ENST00000344120,ENST00000434127,ENST00000511815,ENST00000503582,ENST00000509364</t>
  </si>
  <si>
    <t>ENSP00000344967,ENSP00000399468,ENSP00000424411</t>
  </si>
  <si>
    <t>ENST00000520878,ENST00000316308,ENST00000522136,ENST00000519132,ENST00000521621,ENST00000519583,ENST00000522749,ENST00000520199,ENST00000520909,ENST00000520126,ENST00000522556,ENST00000523013,ENST00000520957,ENST00000611575,ENST00000611733</t>
  </si>
  <si>
    <t>ENSP00000316948,ENSP00000429195,ENSP00000428651,ENSP00000430216,ENSP00000430892,ENSP00000479788,ENSP00000480792</t>
  </si>
  <si>
    <t>NM_001030019,NM_152782</t>
  </si>
  <si>
    <t>NP_001025190.1,NP_689995.3</t>
  </si>
  <si>
    <t>ENST00000461953,ENST00000473723,ENST00000453071,ENST00000297325,ENST00000412371,ENST00000395572,ENST00000449896,ENST00000438771,ENST00000412142,ENST00000453192</t>
  </si>
  <si>
    <t>ENSP00000388627,ENSP00000297325,ENSP00000406887,ENSP00000378939,ENSP00000395392,ENSP00000409077,ENSP00000410204,ENSP00000387525</t>
  </si>
  <si>
    <t>ENST00000268097,ENST00000565873,ENST00000564677,ENST00000567411,ENST00000566304,ENST00000569116,ENST00000567027,ENST00000568777,ENST00000567159,ENST00000563762,ENST00000566672,ENST00000569410,ENST00000569509,ENST00000568260,ENST00000563908,ENST00000567213</t>
  </si>
  <si>
    <t>ENSP00000268097,ENSP00000455545,ENSP00000455114,ENSP00000457521,ENSP00000456489,ENSP00000456346,ENSP00000457037,ENSP00000457125,ENSP00000458128,ENSP00000478217</t>
  </si>
  <si>
    <t>Homo sapiens HAUS augmin-like complex, subunit 3 (HAUS3)</t>
  </si>
  <si>
    <t>ENST00000506763,ENST00000243706,ENST00000443786,ENST00000514395,ENST00000502440</t>
  </si>
  <si>
    <t>ENSP00000427350,ENSP00000243706,ENSP00000392903,ENSP00000423285,ENSP00000427356</t>
  </si>
  <si>
    <t>Homo sapiens laminin, gamma 1 (formerly LAMB2)</t>
  </si>
  <si>
    <t>ENST00000258341,ENST00000484114,ENST00000479499,ENST00000466964,ENST00000478064,ENST00000495918</t>
  </si>
  <si>
    <t>ENSP00000258341,ENSP00000473583</t>
  </si>
  <si>
    <t>NM_001135054,NM_001135053,NM_021805</t>
  </si>
  <si>
    <t>NP_001128526.1,NP_001128525.1,NP_068577.2</t>
  </si>
  <si>
    <t>ENST00000528845,ENST00000526395,ENST00000431843,ENST00000397632,ENST00000332725,ENST00000527295,ENST00000527987,ENST00000531205,ENST00000534145,ENST00000528209,ENST00000525299,ENST00000528698,ENST00000534217,ENST00000528536,ENST00000526788,ENST00000530494,ENST00000529486,ENST00000530683,ENST00000528116,ENST00000527136,ENST00000528058,ENST00000525070</t>
  </si>
  <si>
    <t>ENSP00000434164,ENSP00000433530,ENSP00000403104,ENSP00000380756,ENSP00000333656,ENSP00000433022,ENSP00000435135,ENSP00000434030,ENSP00000431698</t>
  </si>
  <si>
    <t>Homo sapiens protein kinase domain containing, cytoplasmic (PKDCC)</t>
  </si>
  <si>
    <t>ENST00000294964,ENST00000401498,ENST00000485578,ENST00000492861,ENST00000475868,ENST00000475241,ENST00000490302,ENST00000470578,ENST00000480099</t>
  </si>
  <si>
    <t>ENSP00000294964,ENSP00000385220</t>
  </si>
  <si>
    <t>ENST00000297151,ENST00000521320,ENST00000520841,ENST00000523219,ENST00000521826,ENST00000521190,ENST00000519349,ENST00000518268,ENST00000520664</t>
  </si>
  <si>
    <t>ENSP00000297151,ENSP00000428943,ENSP00000429990,ENSP00000428362</t>
  </si>
  <si>
    <t>Homo sapiens anti-Mullerian hormone receptor, type II (AMHR2)</t>
  </si>
  <si>
    <t>NM_001164691,NM_001164690,NM_020547</t>
  </si>
  <si>
    <t>NP_001158163.1,NP_001158162.1,NP_065434.1</t>
  </si>
  <si>
    <t>ENST00000257863,ENST00000550311,ENST00000379791,ENST00000553037,ENST00000548303,ENST00000552233,ENST00000550839</t>
  </si>
  <si>
    <t>ENSP00000257863,ENSP00000446661,ENSP00000369117,ENSP00000455338</t>
  </si>
  <si>
    <t>ENST00000519042,ENST00000318410,ENST00000517845,ENST00000530856,ENST00000523297,ENST00000519340,ENST00000521109,ENST00000523397</t>
  </si>
  <si>
    <t>ENSP00000318016,ENSP00000429676,ENSP00000427946</t>
  </si>
  <si>
    <t>Homo sapiens mannosidase, alpha, class 2A, member 1 (MAN2A1)</t>
  </si>
  <si>
    <t>ENST00000261483,ENST00000502261,ENST00000508043,ENST00000513921,ENST00000505313,ENST00000503970</t>
  </si>
  <si>
    <t>PREDICTED: Homo sapiens glucuronidase, beta pseudogene 3 (GUSBP3)|PREDICTED: Homo sapiens beta-glucuronidase-like protein SMA4 (LOC100653061)</t>
  </si>
  <si>
    <t>XR_953448|XM_011546971,XM_011546970</t>
  </si>
  <si>
    <t>-|XP_011545273.1,XP_011545272.1</t>
  </si>
  <si>
    <t>ENST00000304363,ENST00000441488,ENST00000427752,ENST00000401547,ENST00000405515,ENST00000402789,ENST00000402185,ENST00000323599,ENST00000533271,ENST00000524672,ENST00000453170,ENST00000458496,ENST00000434573,ENST00000466295,ENST00000615954</t>
  </si>
  <si>
    <t>ENSP00000305899,ENSP00000411146,ENSP00000387685,ENSP00000385965,ENSP00000385640,ENSP00000385005,ENSP00000384724,ENSP00000313027,ENSP00000406377,ENSP00000403233,ENSP00000402921,ENSP00000484858</t>
  </si>
  <si>
    <t>NM_006902,NM_022716</t>
  </si>
  <si>
    <t>NP_008833.1,NP_073207.1</t>
  </si>
  <si>
    <t>ENST00000553786,ENST00000367760,ENST00000239461,ENST00000497230,ENST00000476867,ENST00000495280,ENST00000485529,ENST00000496573</t>
  </si>
  <si>
    <t>ENSP00000356734,ENSP00000239461,ENSP00000450762</t>
  </si>
  <si>
    <t>Homo sapiens solute carrier family 9, subfamily B (NHA2, cation proton antiporter 2)</t>
  </si>
  <si>
    <t>ENST00000362026,ENST00000506288,ENST00000394785,ENST00000503103,ENST00000503230,ENST00000510976,ENST00000515424,ENST00000503818,ENST00000505838,ENST00000508136,ENST00000512806</t>
  </si>
  <si>
    <t>ENSP00000354574,ENSP00000421943,ENSP00000378265,ENSP00000425385,ENSP00000422477,ENSP00000426305,ENSP00000423496</t>
  </si>
  <si>
    <t>ENST00000444149,ENST00000519896,ENST00000522442,ENST00000521285</t>
  </si>
  <si>
    <t>ENSP00000414887,ENSP00000430047,ENSP00000428477,ENSP00000431043</t>
  </si>
  <si>
    <t>ENST00000472688,ENST00000480174,ENST00000477524,ENST00000488014,ENST00000260505,ENST00000474957,ENST00000480533,ENST00000472937,ENST00000485638,ENST00000464289,ENST00000474702,ENST00000482783,ENST00000467670,ENST00000610996</t>
  </si>
  <si>
    <t>ENSP00000435334,ENSP00000260505,ENSP00000434146,ENSP00000432921,ENSP00000484660</t>
  </si>
  <si>
    <t>NM_001127257,NM_020342</t>
  </si>
  <si>
    <t>NP_001120729.1,NP_065075.1</t>
  </si>
  <si>
    <t>ENST00000458054,ENST00000409086,ENST00000444421,ENST00000359634,ENST00000430412,ENST00000412905,ENST00000464301,ENST00000418005,ENST00000465851</t>
  </si>
  <si>
    <t>ENSP00000389640,ENSP00000386766,ENSP00000394469,ENSP00000352655,ENSP00000394995,ENSP00000406590,ENSP00000409272</t>
  </si>
  <si>
    <t>NM_001144766,NM_003315,NR_029431</t>
  </si>
  <si>
    <t>NP_001138238.1,NP_003306.3,-</t>
  </si>
  <si>
    <t>ENST00000457167,ENST00000587727,ENST00000426588,ENST00000588814,ENST00000316603,ENST00000585693,ENST00000586335,ENST00000590197,ENST00000590847,ENST00000589810,ENST00000588641,ENST00000590348,ENST00000591153,ENST00000589576,ENST00000590774,ENST00000589586,ENST00000585866,ENST00000589773,ENST00000590886,ENST00000591787,ENST00000589547,ENST00000587380,ENST00000586240</t>
  </si>
  <si>
    <t>ENSP00000406463,ENSP00000467702,ENSP00000394327,ENSP00000466114,ENSP00000313311,ENSP00000464993,ENSP00000467477,ENSP00000468805,ENSP00000464756,ENSP00000468102,ENSP00000465340,ENSP00000466748,ENSP00000466877,ENSP00000465228,ENSP00000465399,ENSP00000465140</t>
  </si>
  <si>
    <t>Homo sapiens ATPase, Ca++ transporting, plasma membrane 1 (ATP2B1)</t>
  </si>
  <si>
    <t>NM_001001323,NM_001682</t>
  </si>
  <si>
    <t>NP_001001323.1,NP_001673.2</t>
  </si>
  <si>
    <t>ENST00000359142,ENST00000428670,ENST00000393164,ENST00000550716,ENST00000552275,ENST00000551009,ENST00000549727,ENST00000549585,ENST00000551310,ENST00000261173</t>
  </si>
  <si>
    <t>ENSP00000352054,ENSP00000392043,ENSP00000376869,ENSP00000447096,ENSP00000447041,ENSP00000261173</t>
  </si>
  <si>
    <t>ENST00000506793,ENST00000281543,ENST00000513775,ENST00000511493</t>
  </si>
  <si>
    <t>ENSP00000281543,ENSP00000422681</t>
  </si>
  <si>
    <t>NM_001199261,NM_015984</t>
  </si>
  <si>
    <t>NP_001186190.1,NP_057068.1</t>
  </si>
  <si>
    <t>ENST00000367455,ENST00000420791,ENST00000367454,ENST00000449480,ENST00000367450,ENST00000367451,ENST00000367448,ENST00000367449,ENST00000443327,ENST00000416915,ENST00000421683,ENST00000483156,ENST00000417752</t>
  </si>
  <si>
    <t>ENSP00000356425,ENSP00000408720,ENSP00000356424,ENSP00000402847,ENSP00000356420,ENSP00000356421,ENSP00000356418,ENSP00000356419,ENSP00000391153,ENSP00000392416,ENSP00000389563,ENSP00000412265</t>
  </si>
  <si>
    <t>ENST00000515852,ENST00000510226,ENST00000504949,ENST00000506959,ENST00000506817,ENST00000379982,ENST00000512878,ENST00000510623,ENST00000502541,ENST00000504179,ENST00000510313,ENST00000507186,ENST00000511558,ENST00000503737,ENST00000513091,ENST00000514198</t>
  </si>
  <si>
    <t>ENSP00000423688,ENSP00000426479,ENSP00000369318,ENSP00000423652,ENSP00000421875,ENSP00000422360,ENSP00000424844,ENSP00000426390,ENSP00000425342,ENSP00000424700</t>
  </si>
  <si>
    <t>ENST00000227638,ENST00000436171</t>
  </si>
  <si>
    <t>ENSP00000227638,ENSP00000411461</t>
  </si>
  <si>
    <t>NM_001206947,NM_001206946,NM_001008660,NM_007166</t>
  </si>
  <si>
    <t>NP_001193876.1,NP_001193875.1,NP_001008660.1,NP_009097.2</t>
  </si>
  <si>
    <t>ENST00000532317,ENST00000526033,ENST00000530692,ENST00000526548,ENST00000393346,ENST00000529760,ENST00000528398,ENST00000532603,ENST00000356360,ENST00000529016,ENST00000526961,ENST00000526907,ENST00000530542,ENST00000534375,ENST00000534412,ENST00000533350,ENST00000531771,ENST00000531558,ENST00000531930,ENST00000532041,ENST00000525162,ENST00000528256,ENST00000528411,ENST00000630913</t>
  </si>
  <si>
    <t>ENSP00000436958,ENSP00000433846,ENSP00000436852,ENSP00000377015,ENSP00000435807,ENSP00000434884,ENSP00000435311,ENSP00000348718,ENSP00000432509,ENSP00000432976,ENSP00000435737,ENSP00000435499,ENSP00000433166,ENSP00000433303,ENSP00000431728,ENSP00000436508,ENSP00000431545,ENSP00000487119</t>
  </si>
  <si>
    <t>ENST00000370746,ENST00000370745,ENST00000484701,ENST00000370748</t>
  </si>
  <si>
    <t>ENSP00000359782,ENSP00000359781,ENSP00000359784</t>
  </si>
  <si>
    <t>Homo sapiens RAP2A, member of RAS oncogene family (RAP2A)</t>
  </si>
  <si>
    <t>ENST00000245304,ENST00000476869</t>
  </si>
  <si>
    <t>ENSP00000245304,ENSP00000436462</t>
  </si>
  <si>
    <t>ENST00000297591,ENST00000521080,ENST00000522263,ENST00000522196,ENST00000517624,ENST00000523263,ENST00000523405,ENST00000421249,ENST00000519001</t>
  </si>
  <si>
    <t>ENSP00000297591,ENSP00000429909,ENSP00000430857,ENSP00000428784,ENSP00000398390</t>
  </si>
  <si>
    <t>ENST00000377724,ENST00000461549,ENST00000483167,ENST00000478453,ENST00000242323</t>
  </si>
  <si>
    <t>ENSP00000366953,ENSP00000242323</t>
  </si>
  <si>
    <t>NM_133370,NM_001031732</t>
  </si>
  <si>
    <t>NP_588611.2,NP_001026902.1</t>
  </si>
  <si>
    <t>ENST00000615500,ENST00000613637,ENST00000627168,ENST00000628264,ENST00000627135,ENST00000629100,ENST00000625493</t>
  </si>
  <si>
    <t>ENSP00000479213,ENSP00000484604,ENSP00000486746,ENSP00000486660,ENSP00000486929,ENSP00000486413</t>
  </si>
  <si>
    <t>Homo sapiens family with sequence similarity 169, member A (FAM169A)</t>
  </si>
  <si>
    <t>NM_015566,NR_046462</t>
  </si>
  <si>
    <t>NP_056381.1,-</t>
  </si>
  <si>
    <t>ENST00000514215,ENST00000389156,ENST00000510496,ENST00000510609,ENST00000513277,ENST00000514200,ENST00000506954</t>
  </si>
  <si>
    <t>ENSP00000425319,ENSP00000373808,ENSP00000424578,ENSP00000423905,ENSP00000423631,ENSP00000423883,ENSP00000421451</t>
  </si>
  <si>
    <t>NM_018082,NM_001160708</t>
  </si>
  <si>
    <t>NP_060552.4,NP_001154180.1</t>
  </si>
  <si>
    <t>ENST00000228347,ENST00000539066,ENST00000549569,ENST00000549195</t>
  </si>
  <si>
    <t>ENSP00000228347,ENSP00000445721,ENSP00000448398</t>
  </si>
  <si>
    <t>ENST00000617325,ENST00000349995,ENST00000617493,ENST00000476702,ENST00000618913,ENST00000465942,ENST00000486940</t>
  </si>
  <si>
    <t>ENSP00000258654,ENSP00000481332,ENSP00000482221,ENSP00000477882</t>
  </si>
  <si>
    <t>ENST00000272542,ENST00000423633,ENST00000498224,ENST00000433924,ENST00000456264,ENST00000413135,ENST00000480984,ENST00000492076,ENST00000490674</t>
  </si>
  <si>
    <t>ENSP00000272542,ENSP00000392050,ENSP00000390021,ENSP00000403763,ENSP00000413393</t>
  </si>
  <si>
    <t>NM_001146071,NM_001146070,NM_030794</t>
  </si>
  <si>
    <t>NP_001139543.1,NP_001139542.1,NP_110421.1</t>
  </si>
  <si>
    <t>ENST00000484389,ENST00000377894,ENST00000377881,ENST00000377882,ENST00000463109,ENST00000471710,ENST00000535286,ENST00000196169,ENST00000621840</t>
  </si>
  <si>
    <t>ENSP00000432703,ENSP00000367126,ENSP00000367113,ENSP00000367114,ENSP00000440190,ENSP00000196169,ENSP00000477993</t>
  </si>
  <si>
    <t>NM_001035260,NM_004896</t>
  </si>
  <si>
    <t>NP_001030337.1,NP_004887.2</t>
  </si>
  <si>
    <t>ENST00000373382,ENST00000489656,ENST00000497564,ENST00000490696,ENST00000467852,ENST00000489794,ENST00000497022,ENST00000395098,ENST00000263559</t>
  </si>
  <si>
    <t>ENSP00000362480,ENSP00000473746,ENSP00000474611,ENSP00000378532,ENSP00000263559</t>
  </si>
  <si>
    <t>Homo sapiens ring finger protein, LIM domain interacting (RLIM)</t>
  </si>
  <si>
    <t>NM_183353,NM_016120</t>
  </si>
  <si>
    <t>NP_899196.1,NP_057204.2</t>
  </si>
  <si>
    <t>ENST00000332687,ENST00000349225</t>
  </si>
  <si>
    <t>ENSP00000328059,ENSP00000253571</t>
  </si>
  <si>
    <t>ENST00000256544,ENST00000561270,ENST00000558681,ENST00000561371,ENST00000559760,ENST00000560247,ENST00000540594,ENST00000560308,ENST00000560310,ENST00000560671,ENST00000558473,ENST00000557877,ENST00000559462,ENST00000560108,ENST00000559515,ENST00000559464,ENST00000560915</t>
  </si>
  <si>
    <t>ENSP00000256544,ENSP00000453072,ENSP00000453383,ENSP00000453713,ENSP00000454181,ENSP00000452963,ENSP00000454010,ENSP00000453996,ENSP00000453991,ENSP00000453283</t>
  </si>
  <si>
    <t>Homo sapiens laminin, beta 1 (LAMB1)</t>
  </si>
  <si>
    <t>ENST00000472714,ENST00000393561,ENST00000222399,ENST00000474380,ENST00000468518,ENST00000491196,ENST00000470995,ENST00000468999,ENST00000476039,ENST00000479448,ENST00000393560,ENST00000439976,ENST00000393559</t>
  </si>
  <si>
    <t>ENSP00000377191,ENSP00000222399,ENSP00000377190,ENSP00000412686,ENSP00000377189</t>
  </si>
  <si>
    <t>Homo sapiens protein tyrosine phosphatase, receptor type, f polypeptide (PTPRF)</t>
  </si>
  <si>
    <t>NM_003626,NR_045286</t>
  </si>
  <si>
    <t>NP_003617.1,-</t>
  </si>
  <si>
    <t>ENST00000253925,ENST00000389547,ENST00000532504,ENST00000530746,ENST00000532024,ENST00000526262,ENST00000530932,ENST00000525530,ENST00000532443,ENST00000530798,ENST00000526369,ENST00000526347,ENST00000530294,ENST00000526074,ENST00000528284,ENST00000528750,ENST00000533894,ENST00000530390,ENST00000527612,ENST00000532793,ENST00000530548,ENST00000525922,ENST00000531657,ENST00000528853</t>
  </si>
  <si>
    <t>ENSP00000253925,ENSP00000374198,ENSP00000433619,ENSP00000432722,ENSP00000432065,ENSP00000435752,ENSP00000433114,ENSP00000437024,ENSP00000434445,ENSP00000432913,ENSP00000435978,ENSP00000434692</t>
  </si>
  <si>
    <t>ENST00000334082,ENST00000460741,ENST00000282260,ENST00000508576,ENST00000535690</t>
  </si>
  <si>
    <t>ENSP00000334382,ENSP00000282260,ENSP00000426651,ENSP00000441587</t>
  </si>
  <si>
    <t>NM_198889,NM_032217</t>
  </si>
  <si>
    <t>NP_942592.1,NP_115593.3</t>
  </si>
  <si>
    <t>ENST00000358602,ENST00000558247,ENST00000509867,ENST00000330838,ENST00000510127,ENST00000513908,ENST00000560507,ENST00000561029,ENST00000514252,ENST00000559367</t>
  </si>
  <si>
    <t>ENSP00000351416,ENSP00000453434,ENSP00000427151,ENSP00000332265,ENSP00000453294</t>
  </si>
  <si>
    <t>NM_001146105,NM_001146104,NM_001146103,NM_001146102,NM_031458</t>
  </si>
  <si>
    <t>NP_001139577.1,NP_001139576.1,NP_001139575.1,NP_001139574.1,NP_113646.2</t>
  </si>
  <si>
    <t>ENST00000477522,ENST00000492382,ENST00000360356,ENST00000489652,ENST00000471785,ENST00000462315,ENST00000466126</t>
  </si>
  <si>
    <t>ENSP00000419506,ENSP00000417664,ENSP00000353512,ENSP00000419001,ENSP00000418894,ENSP00000419626</t>
  </si>
  <si>
    <t>ENST00000372903,ENST00000372899,ENST00000372901</t>
  </si>
  <si>
    <t>ENSP00000361994,ENSP00000361990,ENSP00000361992</t>
  </si>
  <si>
    <t>Homo sapiens solute carrier family 38, member 1 (SLC38A1)</t>
  </si>
  <si>
    <t>NM_001077484,NM_030674</t>
  </si>
  <si>
    <t>NP_001070952.1,NP_109599.3</t>
  </si>
  <si>
    <t>ENST00000398637,ENST00000549049,ENST00000439706,ENST00000546893,ENST00000552197,ENST00000548979,ENST00000549633,ENST00000551506,ENST00000550173,ENST00000546519,ENST00000612161</t>
  </si>
  <si>
    <t>ENSP00000381634,ENSP00000449607,ENSP00000398142,ENSP00000447853,ENSP00000449756,ENSP00000449744,ENSP00000478907</t>
  </si>
  <si>
    <t>ENST00000449925,ENST00000449857,ENST00000489292</t>
  </si>
  <si>
    <t>ENSP00000414654,ENSP00000387942</t>
  </si>
  <si>
    <t>ENST00000526615,ENST00000532864,ENST00000533358,ENST00000529261,ENST00000532989,ENST00000527433,ENST00000531185,ENST00000278353,ENST00000395700,ENST00000527213,ENST00000532178,ENST00000533090,ENST00000533802,ENST00000534053,ENST00000525736</t>
  </si>
  <si>
    <t>ENSP00000436582,ENSP00000278353,ENSP00000379052</t>
  </si>
  <si>
    <t>ENST00000553365,ENST00000262715,ENST00000555008,ENST00000555727,ENST00000556935,ENST00000553984,ENST00000557314,ENST00000556488,ENST00000471684,ENST00000557627,ENST00000556549</t>
  </si>
  <si>
    <t>ENSP00000450475,ENSP00000262715,ENSP00000450541,ENSP00000451634,ENSP00000452574,ENSP00000450508,ENSP00000450830,ENSP00000451409,ENSP00000451919,ENSP00000452240</t>
  </si>
  <si>
    <t>NM_001135590,NM_032679</t>
  </si>
  <si>
    <t>NP_001129062.1,NP_116068.2</t>
  </si>
  <si>
    <t>ENST00000485702,ENST00000586437,ENST00000477228,ENST00000588129,ENST00000412216,ENST00000301399,ENST00000420592,ENST00000451628,ENST00000458390,ENST00000453272,ENST00000592321,ENST00000446514,ENST00000419138,ENST00000591320,ENST00000588878,ENST00000484095,ENST00000589784</t>
  </si>
  <si>
    <t>ENSP00000394828,ENSP00000301399,ENSP00000413476,ENSP00000389652,ENSP00000404509,ENSP00000413560,ENSP00000467321,ENSP00000415307,ENSP00000407476,ENSP00000467575</t>
  </si>
  <si>
    <t>ENST00000443617,ENST00000559996,ENST00000558324,ENST00000561348,ENST00000561436,ENST00000561359,ENST00000560897,ENST00000559715,ENST00000561400,ENST00000560983,ENST00000560519,ENST00000559886,ENST00000558532,ENST00000560462,ENST00000560316</t>
  </si>
  <si>
    <t>ENSP00000390158,ENSP00000453196,ENSP00000453603,ENSP00000452671,ENSP00000452654,ENSP00000453937,ENSP00000453086,ENSP00000452969,ENSP00000453010</t>
  </si>
  <si>
    <t>ENST00000338086,ENST00000440577,ENST00000403432,ENST00000442400,ENST00000420234,ENST00000429419,ENST00000432105,ENST00000446940,ENST00000424110,ENST00000319801,ENST00000361078</t>
  </si>
  <si>
    <t>ENSP00000338173,ENSP00000409905,ENSP00000385992,ENSP00000387399,ENSP00000396727,ENSP00000408384,ENSP00000413515,ENSP00000395098,ENSP00000326746,ENSP00000354370</t>
  </si>
  <si>
    <t>NM_032485,NM_182802</t>
  </si>
  <si>
    <t>NP_115874.3,NP_877954.1</t>
  </si>
  <si>
    <t>ENST00000610722,ENST00000265187,ENST00000378883,ENST00000378896,ENST00000378886</t>
  </si>
  <si>
    <t>ENSP00000478141,ENSP00000265187,ENSP00000368161,ENSP00000368174,ENSP00000368164</t>
  </si>
  <si>
    <t>NM_001206491,NM_020746,NR_037921</t>
  </si>
  <si>
    <t>NP_001193420.1,NP_065797.2,-</t>
  </si>
  <si>
    <t>ENST00000428216,ENST00000416600</t>
  </si>
  <si>
    <t>ENSP00000401980,ENSP00000413749</t>
  </si>
  <si>
    <t>NM_001172832,NM_001172831,NM_052860</t>
  </si>
  <si>
    <t>NP_001166303.1,NP_001166302.1,NP_443092.1</t>
  </si>
  <si>
    <t>ENST00000427179,ENST00000394226,ENST00000418587,ENST00000274599,ENST00000446148</t>
  </si>
  <si>
    <t>ENSP00000414195,ENSP00000377773,ENSP00000392593,ENSP00000274599,ENSP00000397178</t>
  </si>
  <si>
    <t>Homo sapiens SWI/SNF related, matrix associated, actin dependent regulator of chromatin, subfamily a, member 5 (SMARCA5)</t>
  </si>
  <si>
    <t>ENST00000283131,ENST00000515531,ENST00000508573</t>
  </si>
  <si>
    <t>ENST00000383202,ENST00000236698,ENST00000483235,ENST00000465961,ENST00000487065,ENST00000492318,ENST00000462818,ENST00000480733,ENST00000629124,ENST00000434713</t>
  </si>
  <si>
    <t>ENSP00000372689,ENSP00000236698,ENSP00000419093,ENSP00000418472,ENSP00000419317,ENSP00000420789,ENSP00000486745,ENSP00000404396</t>
  </si>
  <si>
    <t>Homo sapiens caspase 3, apoptosis-related cysteine peptidase (CASP3)</t>
  </si>
  <si>
    <t>NM_032991,NM_004346</t>
  </si>
  <si>
    <t>NP_116786.1,NP_004337.2</t>
  </si>
  <si>
    <t>ENST00000393585,ENST00000308394,ENST00000523916,ENST00000517513,ENST00000393588,ENST00000447121,ENST00000613118</t>
  </si>
  <si>
    <t>ENSP00000377210,ENSP00000311032,ENSP00000428929,ENSP00000428372,ENSP00000377213,ENSP00000407142,ENSP00000478339</t>
  </si>
  <si>
    <t>ENST00000535095,ENST00000323666,ENST00000546753,ENST00000261220,ENST00000549502,ENST00000553151,ENST00000550777,ENST00000551840,ENST00000549136,ENST00000549808,ENST00000546478</t>
  </si>
  <si>
    <t>ENSP00000446052,ENSP00000325312,ENSP00000448169,ENSP00000261220,ENSP00000448370,ENSP00000449004,ENSP00000448614,ENSP00000450063,ENSP00000447661</t>
  </si>
  <si>
    <t>ENST00000262077,ENST00000613258,ENST00000537253</t>
  </si>
  <si>
    <t>ENSP00000262077,ENSP00000478627,ENSP00000444029</t>
  </si>
  <si>
    <t>NM_001199260,NM_145034</t>
  </si>
  <si>
    <t>NP_001186189.1,NP_659471.1</t>
  </si>
  <si>
    <t>ENST00000367612,ENST00000609928,ENST00000482587,ENST00000495650,ENST00000474318,ENST00000483123</t>
  </si>
  <si>
    <t>ENSP00000356584,ENSP00000477486,ENSP00000485355,ENSP00000485107</t>
  </si>
  <si>
    <t>ENST00000321250,ENST00000518001,ENST00000520682,ENST00000442880,ENST00000523116,ENST00000520739,ENST00000518192,ENST00000519466</t>
  </si>
  <si>
    <t>ENSP00000314625,ENSP00000430702,ENSP00000429656,ENSP00000412803,ENSP00000428281,ENSP00000429398,ENSP00000428196,ENSP00000429155</t>
  </si>
  <si>
    <t>Homo sapiens ATP-binding cassette, sub-family A (ABC1)</t>
  </si>
  <si>
    <t>ENST00000374733,ENST00000423487,ENST00000494467,ENST00000374736</t>
  </si>
  <si>
    <t>ENSP00000363865,ENSP00000416623,ENSP00000363868</t>
  </si>
  <si>
    <t>Homo sapiens eukaryotic translation initiation factor 1A, X-linked (EIF1AX)</t>
  </si>
  <si>
    <t>ENST00000379607,ENST00000379593</t>
  </si>
  <si>
    <t>ENSP00000368927,ENSP00000368912</t>
  </si>
  <si>
    <t>ENST00000607252,ENST00000605935,ENST00000606599,ENST00000361428</t>
  </si>
  <si>
    <t>ENSP00000475748,ENSP00000475511,ENSP00000354964</t>
  </si>
  <si>
    <t>ENST00000621686,ENST00000633758,ENST00000632601,ENST00000633767,ENST00000633772,ENST00000633649,ENST00000633235,ENST00000632761,ENST00000632104</t>
  </si>
  <si>
    <t>ENSP00000478954,ENSP00000488752,ENSP00000487906,ENSP00000487803</t>
  </si>
  <si>
    <t>ENST00000265000,ENST00000512285,ENST00000502407,ENST00000505308,ENST00000506317,ENST00000503213,ENST00000515862</t>
  </si>
  <si>
    <t>ENSP00000265000,ENSP00000427050,ENSP00000427095,ENSP00000427341</t>
  </si>
  <si>
    <t>Homo sapiens phosphatidylinositol glycan anchor biosynthesis, class N (PIGN)</t>
  </si>
  <si>
    <t>NM_012327,NM_176787</t>
  </si>
  <si>
    <t>NP_036459.1,NP_789744.1</t>
  </si>
  <si>
    <t>ENST00000357637,ENST00000400334,ENST00000587942,ENST00000590948,ENST00000586566,ENST00000589414,ENST00000592803,ENST00000588748,ENST00000591238,ENST00000585923,ENST00000589720,ENST00000589098,ENST00000590765,ENST00000585458,ENST00000588571,ENST00000589339,ENST00000585344,ENST00000585926,ENST00000587134,ENST00000593225</t>
  </si>
  <si>
    <t>ENSP00000350263,ENSP00000383188,ENSP00000465241,ENSP00000467410,ENSP00000466985,ENSP00000467458,ENSP00000466462,ENSP00000467812,ENSP00000468721,ENSP00000467618,ENSP00000464707,ENSP00000466883,ENSP00000466035,ENSP00000465506,ENSP00000465897,ENSP00000468456,ENSP00000466354</t>
  </si>
  <si>
    <t>ENST00000401558,ENST00000428210,ENST00000481073,ENST00000404992,ENST00000406957,ENST00000492182,ENST00000461407,ENST00000494468,ENST00000469337,ENST00000460037,ENST00000475744,ENST00000437159,ENST00000489954,ENST00000451765,ENST00000443240,ENST00000476585,ENST00000468259,ENST00000420673,ENST00000422552,ENST00000457483,ENST00000481214,ENST00000495003,ENST00000449444,ENST00000436018</t>
  </si>
  <si>
    <t>ENSP00000384863,ENSP00000407170,ENSP00000385942,ENSP00000385559,ENSP00000388927,ENSP00000413853,ENSP00000406428,ENSP00000393484,ENSP00000408190,ENSP00000394951,ENSP00000406819,ENSP00000390843</t>
  </si>
  <si>
    <t>ENST00000461933,ENST00000337002,ENST00000460513,ENST00000480708,ENST00000487736,ENST00000469515,ENST00000481435,ENST00000497277,ENST00000469890,ENST00000470355</t>
  </si>
  <si>
    <t>ENSP00000337688,ENSP00000419319,ENSP00000420331,ENSP00000420304,ENSP00000418342</t>
  </si>
  <si>
    <t>ENST00000258399,ENST00000454775,ENST00000415516,ENST00000418019,ENST00000473554,ENST00000484018,ENST00000475553,ENST00000466523,ENST00000486242,ENST00000478329,ENST00000338465</t>
  </si>
  <si>
    <t>ENSP00000258399,ENSP00000393662,ENSP00000400902,ENSP00000396585,ENSP00000345043</t>
  </si>
  <si>
    <t>NM_152838,NM_001198840,NM_001198838,NM_006047</t>
  </si>
  <si>
    <t>NP_690051.1,NP_001185769.1,NP_001185767.1,NP_006038.2</t>
  </si>
  <si>
    <t>ENST00000374114,ENST00000359646,ENST00000374104,ENST00000424458,ENST00000431148,ENST00000435161</t>
  </si>
  <si>
    <t>ENSP00000363228,ENSP00000352668,ENSP00000363217,ENSP00000411036,ENSP00000392642,ENSP00000411692</t>
  </si>
  <si>
    <t>ENST00000366923,ENST00000468487,ENST00000485821,ENST00000609181,ENST00000464052,ENST00000477030</t>
  </si>
  <si>
    <t>ENSP00000355890,ENSP00000477245,ENSP00000477493</t>
  </si>
  <si>
    <t>ENST00000379638,ENST00000497856,ENST00000513339,ENST00000511865,ENST00000261482,ENST00000474542,ENST00000504247</t>
  </si>
  <si>
    <t>ENSP00000368959,ENSP00000425901,ENSP00000421305,ENSP00000261482,ENSP00000421881</t>
  </si>
  <si>
    <t>Homo sapiens MDN1, midasin homolog (yeast)</t>
  </si>
  <si>
    <t>ENST00000369393,ENST00000487831,ENST00000468568,ENST00000439638,ENST00000629399</t>
  </si>
  <si>
    <t>ENSP00000358400,ENSP00000469327,ENSP00000409664,ENSP00000486270</t>
  </si>
  <si>
    <t>Homo sapiens clathrin, heavy chain (Hc)</t>
  </si>
  <si>
    <t>ENST00000393043,ENST00000269122,ENST00000580081,ENST00000579456,ENST00000584313,ENST00000585198,ENST00000472129,ENST00000483176,ENST00000466513,ENST00000579815,ENST00000496076,ENST00000472651,ENST00000475458,ENST00000498711,ENST00000621829</t>
  </si>
  <si>
    <t>ENSP00000376763,ENSP00000269122,ENSP00000462592,ENSP00000462252,ENSP00000463336,ENSP00000463068,ENSP00000465200,ENSP00000461977,ENSP00000479606</t>
  </si>
  <si>
    <t>ENST00000263805,ENST00000565380,ENST00000565500,ENST00000569648,ENST00000565611,ENST00000568906,ENST00000565660,ENST00000570078,ENST00000567772,ENST00000565948,ENST00000564754,ENST00000567041</t>
  </si>
  <si>
    <t>ENSP00000263805,ENSP00000455674,ENSP00000456604,ENSP00000456191,ENSP00000457637,ENSP00000475881,ENSP00000455049,ENSP00000456845,ENSP00000454882</t>
  </si>
  <si>
    <t>Homo sapiens ribosomal protein S6 kinase, 90kDa, polypeptide 3 (RPS6KA3)</t>
  </si>
  <si>
    <t>ENST00000379565,ENST00000479809,ENST00000457145,ENST00000492128,ENST00000438357,ENST00000474266</t>
  </si>
  <si>
    <t>ENSP00000368884,ENSP00000407655,ENSP00000388512</t>
  </si>
  <si>
    <t>Homo sapiens SAFB-like, transcription modulator (SLTM)</t>
  </si>
  <si>
    <t>NM_001013843,NM_024755</t>
  </si>
  <si>
    <t>NP_001013865.1,NP_079031.2</t>
  </si>
  <si>
    <t>ENST00000380516,ENST00000432750,ENST00000560494,ENST00000492526,ENST00000493062,ENST00000557924,ENST00000558052,ENST00000560695,ENST00000557791,ENST00000558734,ENST00000497088,ENST00000558756,ENST00000249736,ENST00000473359,ENST00000559305,ENST00000480144,ENST00000559880,ENST00000558486,ENST00000560682,ENST00000557950,ENST00000560532,ENST00000559261,ENST00000560012,ENST00000484498,ENST00000474342,ENST00000628684</t>
  </si>
  <si>
    <t>ENSP00000369887,ENSP00000411534,ENSP00000452805,ENSP00000453711,ENSP00000454000,ENSP00000453662,ENSP00000452945,ENSP00000249736,ENSP00000453371,ENSP00000453065,ENSP00000453179,ENSP00000453987,ENSP00000453775,ENSP00000485870</t>
  </si>
  <si>
    <t>ENST00000548125,ENST00000280756,ENST00000547242,ENST00000551489,ENST00000550344,ENST00000547081,ENST00000551813,ENST00000548806,ENST00000551237</t>
  </si>
  <si>
    <t>ENSP00000449785,ENSP00000280756,ENSP00000446537,ENSP00000450304,ENSP00000446717,ENSP00000449106,ENSP00000450350</t>
  </si>
  <si>
    <t>Homo sapiens helicase, POLQ-like (HELQ)</t>
  </si>
  <si>
    <t>ENST00000508591,ENST00000295488,ENST00000512539,ENST00000510985,ENST00000515482,ENST00000440639</t>
  </si>
  <si>
    <t>ENSP00000424186,ENSP00000295488,ENSP00000424539</t>
  </si>
  <si>
    <t>NM_018195,NM_001082970,NM_001082969</t>
  </si>
  <si>
    <t>NP_060665.3,NP_001076439.1,NP_001076438.1</t>
  </si>
  <si>
    <t>ENST00000420986,ENST00000532163,ENST00000280352,ENST00000530104,ENST00000526879,ENST00000524989,ENST00000393047,ENST00000525785,ENST00000531378</t>
  </si>
  <si>
    <t>ENSP00000402208,ENSP00000432188,ENSP00000339076,ENSP00000436169,ENSP00000432677,ENSP00000376767,ENSP00000435408,ENSP00000434054</t>
  </si>
  <si>
    <t>ENST00000508628,ENST00000582970,ENST00000319921,ENST00000559070,ENST00000573548,ENST00000574060,ENST00000571908,ENST00000558116,ENST00000560694,ENST00000558488,ENST00000559603,ENST00000411702,ENST00000573038,ENST00000559864,ENST00000574909,ENST00000572622,ENST00000427003,ENST00000570776,ENST00000560083,ENST00000573919</t>
  </si>
  <si>
    <t>ENSP00000425956,ENSP00000464087,ENSP00000324392,ENSP00000460462</t>
  </si>
  <si>
    <t>Homo sapiens SNF2 histone linker PHD RING helicase, E3 ubiquitin protein ligase (SHPRH)</t>
  </si>
  <si>
    <t>NM_173082,NM_001042683</t>
  </si>
  <si>
    <t>NP_775105.1,NP_001036148.2</t>
  </si>
  <si>
    <t>ENST00000417762,ENST00000367505,ENST00000438092,ENST00000275233,ENST00000433355,ENST00000519632,ENST00000523276,ENST00000520752,ENST00000521977,ENST00000629427,ENST00000367503</t>
  </si>
  <si>
    <t>ENSP00000403790,ENSP00000356475,ENSP00000412797,ENSP00000275233,ENSP00000408019,ENSP00000430528,ENSP00000429548,ENSP00000486723,ENSP00000356473</t>
  </si>
  <si>
    <t>ENST00000467385,ENST00000486351,ENST00000424232,ENST00000486108,ENST00000464977,ENST00000444262,ENST00000496258,ENST00000337539,ENST00000496497,ENST00000472248,ENST00000436735,ENST00000439591,ENST00000610595,ENST00000611543,ENST00000618076</t>
  </si>
  <si>
    <t>ENSP00000404497,ENSP00000473799,ENSP00000474895,ENSP00000414802,ENSP00000474097,ENSP00000336630,ENSP00000475000,ENSP00000397071,ENSP00000400190,ENSP00000480012,ENSP00000483102,ENSP00000481552</t>
  </si>
  <si>
    <t>ENST00000543095,ENST00000551414,ENST00000538864,ENST00000550366,ENST00000550819,ENST00000549719,ENST00000552500,ENST00000382464,ENST00000549184</t>
  </si>
  <si>
    <t>ENSP00000437968,ENSP00000439979,ENSP00000450296,ENSP00000446884,ENSP00000447708,ENSP00000371903,ENSP00000450262</t>
  </si>
  <si>
    <t>ENST00000261973,ENST00000527432,ENST00000531500,ENST00000532683,ENST00000525321,ENST00000526754,ENST00000525161,ENST00000528081,ENST00000532192,ENST00000532483,ENST00000527449,ENST00000530978</t>
  </si>
  <si>
    <t>ENSP00000261973,ENSP00000431150,ENSP00000434333,ENSP00000436868,ENSP00000436225,ENSP00000434004,ENSP00000434444,ENSP00000434950</t>
  </si>
  <si>
    <t>ENST00000389834,ENST00000568067,ENST00000564329,ENST00000566014,ENST00000562946,ENST00000569075,ENST00000568400,ENST00000563371,ENST00000561578,ENST00000566474,ENST00000307216,ENST00000568432,ENST00000448392</t>
  </si>
  <si>
    <t>ENSP00000374484,ENSP00000457308,ENSP00000456225,ENSP00000454539,ENSP00000455343,ENSP00000457874,ENSP00000454278,ENSP00000305894,ENSP00000456940,ENSP00000405379</t>
  </si>
  <si>
    <t>ENST00000554887,ENST00000216277,ENST00000553357,ENST00000553689,ENST00000557320,ENST00000554130,ENST00000557471,ENST00000556619,ENST00000392990,ENST00000555626,ENST00000556248,ENST00000557406,ENST00000555224,ENST00000555912,ENST00000553461,ENST00000555131,ENST00000555021,ENST00000554666,ENST00000556787,ENST00000555701,ENST00000556283,ENST00000554135,ENST00000556459,ENST00000553940,ENST00000555508</t>
  </si>
  <si>
    <t>ENSP00000216277,ENSP00000452578,ENSP00000451600,ENSP00000450437,ENSP00000450812,ENSP00000451267,ENSP00000376716,ENSP00000450534,ENSP00000450564,ENSP00000451757</t>
  </si>
  <si>
    <t>NM_001008938,NM_014756</t>
  </si>
  <si>
    <t>NP_001008938.1,NP_055571.2</t>
  </si>
  <si>
    <t>ENST00000529230,ENST00000354558,ENST00000533413,ENST00000525896,ENST00000527333,ENST00000526876,ENST00000526943,ENST00000528593,ENST00000532321,ENST00000526496,ENST00000525248,ENST00000312055</t>
  </si>
  <si>
    <t>ENSP00000432768,ENSP00000346566,ENSP00000434523,ENSP00000431509,ENSP00000436052,ENSP00000436769,ENSP00000310227</t>
  </si>
  <si>
    <t>NM_001160148,NM_001160147,NM_030637</t>
  </si>
  <si>
    <t>NP_001153620.1,NP_001153619.1,NP_085140.2</t>
  </si>
  <si>
    <t>ENST00000395606,ENST00000323669,ENST00000357758,ENST00000556027,ENST00000555621,ENST00000555400,ENST00000553406,ENST00000556910,ENST00000557445,ENST00000612692</t>
  </si>
  <si>
    <t>ENSP00000378970,ENSP00000327104,ENSP00000350401,ENSP00000450785,ENSP00000483405</t>
  </si>
  <si>
    <t>NM_001172312,NM_001145319,NM_002670</t>
  </si>
  <si>
    <t>NP_001165783.1,NP_001138791.1,NP_002661.2</t>
  </si>
  <si>
    <t>ENST00000457734,ENST00000483373,ENST00000475296,ENST00000495744,ENST00000476044,ENST00000461644,ENST00000464320,ENST00000337777,ENST00000497199,ENST00000497002,ENST00000460104,ENST00000483507</t>
  </si>
  <si>
    <t>ENSP00000387890,ENSP00000419893,ENSP00000417311,ENSP00000419531,ENSP00000417481,ENSP00000419271,ENSP00000418880,ENSP00000336831,ENSP00000417491,ENSP00000418700</t>
  </si>
  <si>
    <t>ENST00000296582,ENST00000508208,ENST00000505999,ENST00000506826</t>
  </si>
  <si>
    <t>ENSP00000296582,ENSP00000425940,ENSP00000421159</t>
  </si>
  <si>
    <t>NM_001163280,NM_014500</t>
  </si>
  <si>
    <t>NP_001156752.1,NP_055315.2</t>
  </si>
  <si>
    <t>ENST00000448450,ENST00000425695,ENST00000218364,ENST00000535601</t>
  </si>
  <si>
    <t>ENSP00000411381,ENSP00000412420,ENSP00000218364,ENSP00000442699</t>
  </si>
  <si>
    <t>ENST00000267859,ENST00000478981,ENST00000607373,ENST00000439052,ENST00000415213,ENST00000560776,ENST00000448414,ENST00000464390,ENST00000560458,ENST00000417312,ENST00000557987,ENST00000477543,ENST00000612191</t>
  </si>
  <si>
    <t>ENSP00000267859,ENSP00000475320,ENSP00000393644,ENSP00000412767,ENSP00000398364,ENSP00000479818</t>
  </si>
  <si>
    <t>ENST00000295958,ENST00000630374,ENST00000512441,ENST00000511809,ENST00000510628,ENST00000507613,ENST00000505729</t>
  </si>
  <si>
    <t>ENSP00000295958,ENSP00000421087,ENSP00000425371,ENSP00000422904</t>
  </si>
  <si>
    <t>Homo sapiens LPS-responsive vesicle trafficking, beach and anchor containing (LRBA)</t>
  </si>
  <si>
    <t>NM_001199282,NM_006726</t>
  </si>
  <si>
    <t>NP_001186211.2,NP_006717.2</t>
  </si>
  <si>
    <t>ENST00000510413,ENST00000515096,ENST00000503716,ENST00000357115,ENST00000509835,ENST00000510157,ENST00000508606,ENST00000507224,ENST00000513021,ENST00000508396,ENST00000502839,ENST00000514435,ENST00000510841</t>
  </si>
  <si>
    <t>ENSP00000421552,ENSP00000349629,ENSP00000426669,ENSP00000425852,ENSP00000422180,ENSP00000424640</t>
  </si>
  <si>
    <t>ENST00000628182,ENST00000625211,ENST00000626957,ENST00000626698,ENST00000626446,ENST00000627346,ENST00000626182</t>
  </si>
  <si>
    <t>ENSP00000486315,ENSP00000487008,ENSP00000486758,ENSP00000486524,ENSP00000486383</t>
  </si>
  <si>
    <t>ENST00000547654,ENST00000550629,ENST00000369367,ENST00000465950,ENST00000549162,ENST00000550893,ENST00000547950,ENST00000547018,ENST00000484275,ENST00000546534,ENST00000551391,ENST00000266589,ENST00000395454,ENST00000395453,ENST00000474828</t>
  </si>
  <si>
    <t>ENSP00000358374,ENSP00000449812,ENSP00000448864,ENSP00000477742,ENSP00000446746,ENSP00000478596,ENSP00000266589,ENSP00000378840,ENSP00000378839</t>
  </si>
  <si>
    <t>Homo sapiens HECT, C2 and WW domain containing E3 ubiquitin protein ligase 2 (HECW2)</t>
  </si>
  <si>
    <t>ENST00000260983,ENST00000409111,ENST00000498146,ENST00000462290,ENST00000452031,ENST00000427457</t>
  </si>
  <si>
    <t>ENSP00000260983,ENSP00000386775,ENSP00000409918,ENSP00000395770</t>
  </si>
  <si>
    <t>ENST00000322213,ENST00000470241,ENST00000469129,ENST00000463684,ENST00000428014,ENST00000375340</t>
  </si>
  <si>
    <t>ENSP00000323421,ENSP00000476416,ENSP00000476958,ENSP00000413509,ENSP00000364489</t>
  </si>
  <si>
    <t>Homo sapiens integrin, alpha 6 (ITGA6)</t>
  </si>
  <si>
    <t>NM_001079818,NM_000210</t>
  </si>
  <si>
    <t>NP_001073286.1,NP_000201.2</t>
  </si>
  <si>
    <t>ENST00000412899,ENST00000409532,ENST00000264107,ENST00000442250,ENST00000458358,ENST00000409080,ENST00000497107,ENST00000416789,ENST00000469534,ENST00000470259,ENST00000475302</t>
  </si>
  <si>
    <t>ENSP00000413470,ENSP00000386614,ENSP00000264107,ENSP00000406694,ENSP00000394169,ENSP00000386896,ENSP00000388435</t>
  </si>
  <si>
    <t>NM_152764,NM_001163560</t>
  </si>
  <si>
    <t>NP_689977.2,NP_001157032.1</t>
  </si>
  <si>
    <t>ENST00000412554,ENST00000460494,ENST00000496541,ENST00000490154,ENST00000397344,ENST00000325962,ENST00000470044</t>
  </si>
  <si>
    <t>ENSP00000390778,ENSP00000457427,ENSP00000456880,ENSP00000380504,ENSP00000314484,ENSP00000457416</t>
  </si>
  <si>
    <t>Homo sapiens synaptosomal-associated protein, 25kDa (SNAP25)</t>
  </si>
  <si>
    <t>NM_130811,NM_003081</t>
  </si>
  <si>
    <t>NP_570824.1,NP_003072.2</t>
  </si>
  <si>
    <t>ENST00000254976,ENST00000304886,ENST00000430336,ENST00000492814,ENST00000495883</t>
  </si>
  <si>
    <t>ENSP00000254976,ENSP00000307341,ENSP00000400720</t>
  </si>
  <si>
    <t>Homo sapiens praja ring finger 2, E3 ubiquitin protein ligase (PJA2)</t>
  </si>
  <si>
    <t>ENST00000361189,ENST00000511624,ENST00000512822,ENST00000361557</t>
  </si>
  <si>
    <t>ENSP00000354775,ENSP00000355284</t>
  </si>
  <si>
    <t>Homo sapiens collagen, type VI, alpha 3 (COL6A3)</t>
  </si>
  <si>
    <t>NM_057167,NM_004369,NM_057166</t>
  </si>
  <si>
    <t>NP_476508.2,NP_004360.2,NP_476507.3</t>
  </si>
  <si>
    <t>ENST00000473258,ENST00000295550,ENST00000491769,ENST00000472056,ENST00000409809,ENST00000493608,ENST00000468792,ENST00000493475,ENST00000392004,ENST00000392003,ENST00000433762,ENST00000491233,ENST00000353578,ENST00000347401</t>
  </si>
  <si>
    <t>ENSP00000295550,ENSP00000418285,ENSP00000386844,ENSP00000375861,ENSP00000375860,ENSP00000389539,ENSP00000460277,ENSP00000315873,ENSP00000315609</t>
  </si>
  <si>
    <t>NM_139008,NM_139011,NM_139010,NM_139009,NM_139007,NM_139006,NM_139004,NM_139003,NM_000410</t>
  </si>
  <si>
    <t>NP_620577.1,NP_620580.1,NP_620579.1,NP_620578.1,NP_620576.1,NP_620575.1,NP_620573.1,NP_620572.1,NP_000401.1</t>
  </si>
  <si>
    <t>ENST00000397022,ENST00000353147,ENST00000352392,ENST00000349999,ENST00000317896,ENST00000483782,ENST00000357618,ENST00000470149,ENST00000336625,ENST00000486147,ENST00000461397,ENST00000488199,ENST00000309234,ENST00000485729</t>
  </si>
  <si>
    <t>ENSP00000380217,ENSP00000312342,ENSP00000315936,ENSP00000259699,ENSP00000313776,ENSP00000417404,ENSP00000419725,ENSP00000337819,ENSP00000420802,ENSP00000420559,ENSP00000311698,ENSP00000417534</t>
  </si>
  <si>
    <t>NM_001204376,NM_001204375,NM_000908</t>
  </si>
  <si>
    <t>NP_001191305.1,NP_001191304.1,NP_000899.1</t>
  </si>
  <si>
    <t>ENST00000509104,ENST00000434067,ENST00000506712,ENST00000265074,ENST00000415167,ENST00000507141,ENST00000326958</t>
  </si>
  <si>
    <t>ENSP00000425325,ENSP00000388408,ENSP00000265074,ENSP00000398028,ENSP00000423730,ENSP00000318340</t>
  </si>
  <si>
    <t>Homo sapiens pleckstrin homology domain containing, family A member 5 (PLEKHA5)</t>
  </si>
  <si>
    <t>NM_001256787,NM_001256470,NM_019012</t>
  </si>
  <si>
    <t>NP_001243716.1,NP_001243399.1,NP_061885.2</t>
  </si>
  <si>
    <t>ENST00000540972,ENST00000429027,ENST00000299275,ENST00000538714,ENST00000535357,ENST00000538034,ENST00000538305,ENST00000536974,ENST00000534979,ENST00000510738,ENST00000538677,ENST00000538068,ENST00000537027,ENST00000538972,ENST00000424268,ENST00000539256</t>
  </si>
  <si>
    <t>ENSP00000439396,ENSP00000404296,ENSP00000299275,ENSP00000439673,ENSP00000446308,ENSP00000440371,ENSP00000441777,ENSP00000443553,ENSP00000400411,ENSP00000440611</t>
  </si>
  <si>
    <t>Homo sapiens caspase 8, apoptosis-related cysteine peptidase (CASP8)</t>
  </si>
  <si>
    <t>NM_001080125,NM_033356,NM_001080124,NM_033355,NM_001228</t>
  </si>
  <si>
    <t>NP_001073594.1,NP_203520.1,NP_001073593.1,NP_203519.1,NP_001219.2</t>
  </si>
  <si>
    <t>ENST00000392263,ENST00000432109,ENST00000490682,ENST00000264275,ENST00000471383,ENST00000450491,ENST00000440732,ENST00000392258,ENST00000447616,ENST00000358485,ENST00000437283,ENST00000413726,ENST00000490412,ENST00000339403,ENST00000323492,ENST00000429881,ENST00000424461,ENST00000444430,ENST00000392266,ENST00000264274</t>
  </si>
  <si>
    <t>ENSP00000376091,ENSP00000412523,ENSP00000264275,ENSP00000391709,ENSP00000396869,ENSP00000376087,ENSP00000388306,ENSP00000351273,ENSP00000407378,ENSP00000397528,ENSP00000325722,ENSP00000390641,ENSP00000390346,ENSP00000394434,ENSP00000376094,ENSP00000264274</t>
  </si>
  <si>
    <t>NM_001256549,NM_032373,NM_001257101</t>
  </si>
  <si>
    <t>NP_001243478.1,NP_115749.2,NP_001244030.1</t>
  </si>
  <si>
    <t>ENST00000496708,ENST00000490164,ENST00000336126,ENST00000543648,ENST00000614189</t>
  </si>
  <si>
    <t>ENSP00000337500,ENSP00000445704,ENSP00000479492</t>
  </si>
  <si>
    <t>NM_017925,NR_073201</t>
  </si>
  <si>
    <t>NP_060395.5,-</t>
  </si>
  <si>
    <t>ENST00000434457,ENST00000602925,ENST00000602708,ENST00000380437,ENST00000494124,ENST00000602442,ENST00000380427,ENST00000361024,ENST00000380424</t>
  </si>
  <si>
    <t>ENSP00000473469,ENSP00000473565,ENSP00000473273,ENSP00000369792,ENSP00000354301,ENSP00000369789</t>
  </si>
  <si>
    <t>Homo sapiens protein phosphatase 2, regulatory subunit B', gamma (PPP2R5C)</t>
  </si>
  <si>
    <t>NM_001161726,NM_001161725,NM_178586,NM_002719</t>
  </si>
  <si>
    <t>NP_001155198.1,NP_001155197.1,NP_848701.1,NP_002710.2</t>
  </si>
  <si>
    <t>ENST00000556068,ENST00000554442,ENST00000556260,ENST00000328724,ENST00000557268,ENST00000554504,ENST00000553890,ENST00000553554,ENST00000556086,ENST00000350249,ENST00000557621,ENST00000556946,ENST00000556307,ENST00000553730,ENST00000557714,ENST00000445439,ENST00000334743,ENST00000557095,ENST00000556493,ENST00000553842,ENST00000607042,ENST00000556373,ENST00000556570,ENST00000554137,ENST00000556218,ENST00000557534,ENST00000557716,ENST00000556805,ENST00000561006,ENST00000555237,ENST00000557071,ENST00000554147,ENST00000422945</t>
  </si>
  <si>
    <t>ENSP00000450525,ENSP00000454035,ENSP00000329009,ENSP00000450931,ENSP00000452632,ENSP00000453875,ENSP00000262239,ENSP00000450867,ENSP00000454124,ENSP00000452500,ENSP00000452630,ENSP00000408389,ENSP00000333905,ENSP00000451179,ENSP00000450743,ENSP00000452533,ENSP00000452124,ENSP00000453906,ENSP00000450816,ENSP00000450626,ENSP00000412324</t>
  </si>
  <si>
    <t>NM_001198619,NM_001198618,NM_001198617,NM_001198616,NM_001198615,NM_001198614,NM_001198611,NM_001198609,NM_001198608,NM_003980</t>
  </si>
  <si>
    <t>NP_001185548.1,NP_001185547.1,NP_001185546.1,NP_001185545.1,NP_001185544.1,NP_001185543.1,NP_001185540.1,NP_001185538.1,NP_001185537.1,NP_003971.1</t>
  </si>
  <si>
    <t>ENST00000354570,ENST00000454590,ENST00000544465,ENST00000438100,ENST00000611373,ENST00000616617,ENST00000432797,ENST00000617204,ENST00000618822</t>
  </si>
  <si>
    <t>ENSP00000346581,ENSP00000414712,ENSP00000445737,ENSP00000400790,ENSP00000482998,ENSP00000483511,ENSP00000414879,ENSP00000482335,ENSP00000482356</t>
  </si>
  <si>
    <t>Homo sapiens zinc finger, CCHC domain containing 2 (ZCCHC2)</t>
  </si>
  <si>
    <t>ENST00000269499,ENST00000588676,ENST00000585873,ENST00000591632,ENST00000621048,ENST00000586834,ENST00000591435,ENST00000585949,ENST00000587612,ENST00000591145,ENST00000590840</t>
  </si>
  <si>
    <t>ENSP00000269499,ENSP00000465548,ENSP00000468789,ENSP00000480901,ENSP00000464791,ENSP00000468368</t>
  </si>
  <si>
    <t>Homo sapiens mannosidase, alpha, class 1A, member 1 (MAN1A1)</t>
  </si>
  <si>
    <t>ENST00000366582,ENST00000366581,ENST00000490339,ENST00000483073,ENST00000366579</t>
  </si>
  <si>
    <t>ENSP00000355541,ENSP00000355540,ENSP00000355538</t>
  </si>
  <si>
    <t>NM_001199492,NM_145341,NM_014456</t>
  </si>
  <si>
    <t>NP_001186421.1,NP_663314.1,NP_055271.2</t>
  </si>
  <si>
    <t>ENST00000280154,ENST00000467574,ENST00000483670,ENST00000444997,ENST00000492932,ENST00000481353,ENST00000462577,ENST00000489049,ENST00000483595,ENST00000498367,ENST00000393104</t>
  </si>
  <si>
    <t>ENSP00000280154,ENSP00000394668,ENSP00000376816</t>
  </si>
  <si>
    <t>ENST00000464394,ENST00000394009,ENST00000489323,ENST00000463558,ENST00000492026,ENST00000477986,ENST00000492247</t>
  </si>
  <si>
    <t>ENSP00000451659,ENSP00000377577,ENSP00000480689</t>
  </si>
  <si>
    <t>ENST00000428135,ENST00000611725,ENST00000409076,ENST00000496855,ENST00000444712,ENST00000482558,ENST00000409604,ENST00000492626,ENST00000474067,ENST00000475800,ENST00000498463,ENST00000494402,ENST00000471744</t>
  </si>
  <si>
    <t>ENSP00000398789,ENSP00000479044,ENSP00000387053,ENSP00000397768,ENSP00000386639</t>
  </si>
  <si>
    <t>ENST00000502543,ENST00000395710,ENST00000356260,ENST00000395711,ENST00000513089,ENST00000507396,ENST00000515836,ENST00000503411,ENST00000504975,ENST00000514710</t>
  </si>
  <si>
    <t>ENSP00000379060,ENSP00000348596,ENSP00000379061,ENSP00000422368,ENSP00000427443</t>
  </si>
  <si>
    <t>NM_001134999,NM_006832</t>
  </si>
  <si>
    <t>NP_001128471.1,NP_006823.1</t>
  </si>
  <si>
    <t>ENST00000395631,ENST00000341590,ENST00000557255,ENST00000554152,ENST00000555546,ENST00000553373,ENST00000553663,ENST00000399304,ENST00000553768,ENST00000554288,ENST00000555692,ENST00000554712,ENST00000557562,ENST00000343279</t>
  </si>
  <si>
    <t>ENSP00000378993,ENSP00000340391,ENSP00000450741,ENSP00000451084,ENSP00000451134,ENSP00000382243,ENSP00000451268,ENSP00000452472,ENSP00000450506,ENSP00000451085,ENSP00000342858</t>
  </si>
  <si>
    <t>NM_001248008,NM_001145098,NM_001145097,NM_005414</t>
  </si>
  <si>
    <t>NP_001234937.1,NP_001138570.1,NP_001138569.1,NP_005405.2</t>
  </si>
  <si>
    <t>ENST00000477216,ENST00000465590,ENST00000476188,ENST00000259119,ENST00000426052,ENST00000490989,ENST00000413427,ENST00000458537,ENST00000470571,ENST00000490894</t>
  </si>
  <si>
    <t>ENSP00000417670,ENSP00000259119,ENSP00000406520,ENSP00000400193,ENSP00000415243,ENSP00000418237</t>
  </si>
  <si>
    <t>NM_199039,NM_015990,NM_001171654,NM_001007075</t>
  </si>
  <si>
    <t>NP_950240.2,NP_057074.3,NP_001165125.1,NP_001007076.1</t>
  </si>
  <si>
    <t>ENST00000261425,ENST00000508137,ENST00000504108,ENST00000381930,ENST00000261426,ENST00000514399,ENST00000515612</t>
  </si>
  <si>
    <t>ENSP00000261425,ENSP00000423080,ENSP00000423897,ENSP00000371355,ENSP00000261426,ENSP00000426949,ENSP00000425512</t>
  </si>
  <si>
    <t>NM_019053,NM_001013848</t>
  </si>
  <si>
    <t>NP_061926.3,NP_001013870.1</t>
  </si>
  <si>
    <t>ENST00000371543,ENST00000260762,ENST00000497262,ENST00000495132,ENST00000458552,ENST00000371552,ENST00000443748</t>
  </si>
  <si>
    <t>ENSP00000360598,ENSP00000260762,ENSP00000435649,ENSP00000398982,ENSP00000360607,ENSP00000396206</t>
  </si>
  <si>
    <t>ENST00000262903,ENST00000369127,ENST00000517995,ENST00000416605,ENST00000369125,ENST00000518402,ENST00000518503,ENST00000518228,ENST00000517424,ENST00000519645,ENST00000524020,ENST00000521962</t>
  </si>
  <si>
    <t>ENSP00000262903,ENSP00000392425,ENSP00000358121,ENSP00000428110,ENSP00000429520,ENSP00000430898,ENSP00000429765,ENSP00000427901,ENSP00000430669</t>
  </si>
  <si>
    <t>NM_001172304,NM_032844,NM_001172303</t>
  </si>
  <si>
    <t>NP_001165775.1,NP_116233.2,NP_001165774.1</t>
  </si>
  <si>
    <t>ENST00000375946,ENST00000375940,ENST00000342386,ENST00000477034</t>
  </si>
  <si>
    <t>ENSP00000365113,ENSP00000365107,ENSP00000343446,ENSP00000478938</t>
  </si>
  <si>
    <t>Homo sapiens transforming, acidic coiled-coil containing protein 1 (TACC1)</t>
  </si>
  <si>
    <t>NM_001146216,NM_001122824,NM_006283</t>
  </si>
  <si>
    <t>NP_001139688.1,NP_001116296.1,NP_006274.2</t>
  </si>
  <si>
    <t>ENST00000519416,ENST00000520615,ENST00000522474,ENST00000520340,ENST00000522983,ENST00000518415,ENST00000521642,ENST00000521050,ENST00000522904,ENST00000522752,ENST00000524354,ENST00000522544,ENST00000523239,ENST00000317827,ENST00000276520,ENST00000521528,ENST00000520973,ENST00000521935,ENST00000523834,ENST00000521154,ENST00000524193,ENST00000522955,ENST00000521866,ENST00000518809,ENST00000520611,ENST00000517336,ENST00000519093,ENST00000521568,ENST00000522548</t>
  </si>
  <si>
    <t>ENSP00000428687,ENSP00000428450,ENSP00000473342,ENSP00000428706,ENSP00000428466,ENSP00000428949,ENSP00000430355,ENSP00000430562,ENSP00000321703,ENSP00000276520,ENSP00000430819,ENSP00000430959,ENSP00000428175,ENSP00000429330,ENSP00000428253,ENSP00000430306,ENSP00000429418</t>
  </si>
  <si>
    <t>NM_006916,NM_199229</t>
  </si>
  <si>
    <t>NP_008847.1,NP_954699.1</t>
  </si>
  <si>
    <t>ENST00000359429,ENST00000436630,ENST00000408981,ENST00000454822,ENST00000429921,ENST00000453724,ENST00000438265,ENST00000429907,ENST00000441588,ENST00000445268,ENST00000452025,ENST00000438204,ENST00000438191,ENST00000411934,ENST00000435437,ENST00000354506</t>
  </si>
  <si>
    <t>ENSP00000352401,ENSP00000403808,ENSP00000386194,ENSP00000394455,ENSP00000401838,ENSP00000412245,ENSP00000397674,ENSP00000392279,ENSP00000416805,ENSP00000405695,ENSP00000400449,ENSP00000402061,ENSP00000411405,ENSP00000389411,ENSP00000411186,ENSP00000346501</t>
  </si>
  <si>
    <t>ENST00000461129,ENST00000479748,ENST00000368332,ENST00000468097,ENST00000473273,ENST00000444121,ENST00000446681,ENST00000489934,ENST00000453993,ENST00000466316,ENST00000334379</t>
  </si>
  <si>
    <t>ENSP00000467603,ENSP00000433724,ENSP00000357316,ENSP00000467035,ENSP00000465275,ENSP00000406230,ENSP00000415724,ENSP00000410498,ENSP00000466001,ENSP00000333934</t>
  </si>
  <si>
    <t>Homo sapiens TROVE domain family, member 2 (TROVE2)</t>
  </si>
  <si>
    <t>NM_001173524,NM_004600,NR_033393</t>
  </si>
  <si>
    <t>NP_001166995.1,NP_004591.2,-</t>
  </si>
  <si>
    <t>ENST00000400968,ENST00000432079,ENST00000469214,ENST00000415442,ENST00000460715,ENST00000506303,ENST00000367446,ENST00000367443,ENST00000367445,ENST00000367444,ENST00000367441,ENST00000512587</t>
  </si>
  <si>
    <t>ENSP00000383752,ENSP00000472298,ENSP00000401176,ENSP00000425296,ENSP00000356416,ENSP00000356413,ENSP00000356415,ENSP00000356414,ENSP00000356411,ENSP00000424612</t>
  </si>
  <si>
    <t>NM_152360,NM_001172692,NM_001172691,NM_001172690,NM_001172689</t>
  </si>
  <si>
    <t>NP_689573.3,NP_001166163.1,NP_001166162.1,NP_001166161.1,NP_001166160.1</t>
  </si>
  <si>
    <t>ENST00000590674,ENST00000590414,ENST00000589632,ENST00000586155,ENST00000392138,ENST00000489148,ENST00000585724,ENST00000378445,ENST00000591516,ENST00000588218,ENST00000494605,ENST00000480587,ENST00000587684,ENST00000586785,ENST00000588443,ENST00000589435,ENST00000357309,ENST00000339503,ENST00000536220</t>
  </si>
  <si>
    <t>ENSP00000465020,ENSP00000467929,ENSP00000465148,ENSP00000375983,ENSP00000465857,ENSP00000466356,ENSP00000367706,ENSP00000466316,ENSP00000468391,ENSP00000349861,ENSP00000340171,ENSP00000440464</t>
  </si>
  <si>
    <t>NM_001171511,NM_001171510,NM_001171509,NM_001171508,NM_001171507,NM_001171506,NM_139279</t>
  </si>
  <si>
    <t>NP_001164982.1,NP_001164981.1,NP_001164980.1,NP_001164979.1,NP_001164978.1,NP_001164977.1,NP_644808.1</t>
  </si>
  <si>
    <t>ENST00000409105,ENST00000409913,ENST00000319466,ENST00000409800,ENST00000493804,ENST00000409207,ENST00000470873,ENST00000409973,ENST00000409147,ENST00000409218,ENST00000412438,ENST00000434262,ENST00000477791,ENST00000479225,ENST00000417180,ENST00000487121,ENST00000444761</t>
  </si>
  <si>
    <t>ENSP00000386651,ENSP00000386941,ENSP00000317271,ENSP00000387202,ENSP00000386386,ENSP00000386279,ENSP00000387082,ENSP00000386261,ENSP00000402717,ENSP00000387360,ENSP00000387541,ENSP00000394647</t>
  </si>
  <si>
    <t>Homo sapiens UTP20, small subunit (SSU)</t>
  </si>
  <si>
    <t>ENST00000261637,ENST00000551825,ENST00000551998,ENST00000551345</t>
  </si>
  <si>
    <t>NM_017987,NM_001042417</t>
  </si>
  <si>
    <t>NP_060457.4,NP_001035882.1</t>
  </si>
  <si>
    <t>ENST00000466493,ENST00000484083,ENST00000463210,ENST00000466187,ENST00000602465,ENST00000265865,ENST00000473398,ENST00000491118,ENST00000472394,ENST00000342616,ENST00000399200,ENST00000388768,ENST00000454950</t>
  </si>
  <si>
    <t>ENSP00000433197,ENSP00000474574,ENSP00000473462,ENSP00000265865,ENSP00000341727,ENSP00000382151,ENSP00000373420,ENSP00000404986</t>
  </si>
  <si>
    <t>Homo sapiens ATPase family, AAA domain containing 2 (ATAD2)</t>
  </si>
  <si>
    <t>ENST00000517666,ENST00000287394,ENST00000521903,ENST00000519124,ENST00000521496,ENST00000550993,ENST00000534257,ENST00000530065</t>
  </si>
  <si>
    <t>ENSP00000429331,ENSP00000287394,ENSP00000429213,ENSP00000429617</t>
  </si>
  <si>
    <t>NM_001040006,NM_006706</t>
  </si>
  <si>
    <t>NP_001035095.1,NP_006697.2</t>
  </si>
  <si>
    <t>ENST00000507175,ENST00000296702,ENST00000394421,ENST00000549332,ENST00000513298,ENST00000510724,ENST00000509810,ENST00000515203,ENST00000506524,ENST00000505285,ENST00000504116,ENST00000509787,ENST00000514567,ENST00000514719,ENST00000503741,ENST00000511077</t>
  </si>
  <si>
    <t>ENSP00000296702,ENSP00000377943,ENSP00000450414</t>
  </si>
  <si>
    <t>ENST00000535410,ENST00000450485,ENST00000333479,ENST00000535186,ENST00000423927,ENST00000545065,ENST00000377192,ENST00000436959,ENST00000541466,ENST00000546125,ENST00000536625,ENST00000542727,ENST00000539013,ENST00000541427,ENST00000534995</t>
  </si>
  <si>
    <t>ENSP00000397992,ENSP00000328236,ENSP00000397140,ENSP00000408760,ENSP00000439119,ENSP00000437344</t>
  </si>
  <si>
    <t>ENST00000336199,ENST00000366540,ENST00000366539,ENST00000492957,ENST00000552631,ENST00000463991,ENST00000491219,ENST00000490018,ENST00000550388,ENST00000263826</t>
  </si>
  <si>
    <t>ENSP00000336943,ENSP00000355498,ENSP00000355497,ENSP00000447820,ENSP00000263826</t>
  </si>
  <si>
    <t>Homo sapiens ATP-binding cassette, sub-family C (CFTR/MRP)</t>
  </si>
  <si>
    <t>ENST00000376887,ENST00000484109,ENST00000471041,ENST00000474158,ENST00000467685,ENST00000536256,ENST00000629385</t>
  </si>
  <si>
    <t>ENSP00000366084,ENSP00000442024,ENSP00000487081</t>
  </si>
  <si>
    <t>NM_001270643,NM_016019,NM_001244585|NM_001244584</t>
  </si>
  <si>
    <t>NP_001257572.1,NP_057103.2,NP_001231514.1|NP_001231513.1</t>
  </si>
  <si>
    <t>ENST00000541170,ENST00000608368,ENST00000435096,ENST00000354926,ENST00000456182,ENST00000463912,ENST00000498518,ENST00000482860,ENST00000619796,ENST00000263545|ENST00000541515</t>
  </si>
  <si>
    <t>ENSP00000441604,ENSP00000477492,ENSP00000347005,ENSP00000393012,ENSP00000483438,ENSP00000263545|ENSP00000440222</t>
  </si>
  <si>
    <t>Homo sapiens ER degradation enhancer, mannosidase alpha-like 3 (EDEM3)</t>
  </si>
  <si>
    <t>ENST00000318130,ENST00000439962,ENST00000466392,ENST00000474725,ENST00000466606,ENST00000367512</t>
  </si>
  <si>
    <t>ENSP00000318147,ENSP00000390536,ENSP00000356482</t>
  </si>
  <si>
    <t>ENST00000255305,ENST00000490513,ENST00000465018,ENST00000400602</t>
  </si>
  <si>
    <t>ENSP00000255305,ENSP00000383444</t>
  </si>
  <si>
    <t>ENST00000410053,ENST00000404136</t>
  </si>
  <si>
    <t>ENSP00000387006,ENSP00000384159</t>
  </si>
  <si>
    <t>ENST00000277541,ENST00000494783,ENST00000491649</t>
  </si>
  <si>
    <t>Homo sapiens origin recognition complex, subunit 3 (ORC3)</t>
  </si>
  <si>
    <t>NM_001197259,NM_012381,NM_181837</t>
  </si>
  <si>
    <t>NP_001184188.1,NP_036513.2,NP_862820.1</t>
  </si>
  <si>
    <t>ENST00000392844,ENST00000468486,ENST00000257789,ENST00000478028,ENST00000508875,ENST00000546266</t>
  </si>
  <si>
    <t>ENSP00000376586,ENSP00000257789,ENSP00000475988,ENSP00000444695</t>
  </si>
  <si>
    <t>Homo sapiens F-box and WD repeat domain containing 7, E3 ubiquitin protein ligase (FBXW7)</t>
  </si>
  <si>
    <t>NM_001013415,NM_033632,NM_018315</t>
  </si>
  <si>
    <t>NP_001013433.1,NP_361014.1,NP_060785.2</t>
  </si>
  <si>
    <t>ENST00000296555,ENST00000281708,ENST00000263981,ENST00000603548,ENST00000603821,ENST00000393956,ENST00000603841,ENST00000604316,ENST00000604069,ENST00000604822,ENST00000604872,ENST00000605042,ENST00000604095</t>
  </si>
  <si>
    <t>ENSP00000296555,ENSP00000281708,ENSP00000263981,ENSP00000474725,ENSP00000377528,ENSP00000474971,ENSP00000474751,ENSP00000474538</t>
  </si>
  <si>
    <t>ENST00000356842,ENST00000359629,ENST00000489516,ENST00000479026,ENST00000631857,ENST00000492272,ENST00000335712,ENST00000477659,ENST00000358510,ENST00000409351,ENST00000489183</t>
  </si>
  <si>
    <t>ENSP00000349300,ENSP00000352648,ENSP00000488390,ENSP00000488636,ENSP00000488886,ENSP00000338774,ENSP00000351307,ENSP00000487844</t>
  </si>
  <si>
    <t>Homo sapiens AT rich interactive domain 2 (ARID, RFX-like)</t>
  </si>
  <si>
    <t>ENST00000334344,ENST00000427628,ENST00000426776,ENST00000422737,ENST00000479608,ENST00000480128,ENST00000444670,ENST00000457135,ENST00000477947</t>
  </si>
  <si>
    <t>ENSP00000335044,ENSP00000415650,ENSP00000397307,ENSP00000388357,ENSP00000481488</t>
  </si>
  <si>
    <t>NM_001011885,NM_025238</t>
  </si>
  <si>
    <t>NP_001011885.1,NP_079514.1</t>
  </si>
  <si>
    <t>ENST00000261721,ENST00000379403,ENST00000559652,ENST00000558344,ENST00000560015</t>
  </si>
  <si>
    <t>ENSP00000261721,ENSP00000368713,ENSP00000453104</t>
  </si>
  <si>
    <t>ENST00000489442,ENST00000361115,ENST00000513525,ENST00000514421</t>
  </si>
  <si>
    <t>ENSP00000426424,ENSP00000354416,ENSP00000422369</t>
  </si>
  <si>
    <t>ENST00000375533,ENST00000497699</t>
  </si>
  <si>
    <t>Homo sapiens protein tyrosine phosphatase, receptor type, K (PTPRK)</t>
  </si>
  <si>
    <t>NM_001135648,NM_002844</t>
  </si>
  <si>
    <t>NP_001129120.1,NP_002835.2</t>
  </si>
  <si>
    <t>ENST00000368226,ENST00000532331,ENST00000368213,ENST00000368210,ENST00000368215,ENST00000368207,ENST00000415046,ENST00000415055,ENST00000531050,ENST00000524481,ENST00000531466,ENST00000434424,ENST00000524534,ENST00000368205,ENST00000490332,ENST00000498284,ENST00000495748,ENST00000429595,ENST00000525459,ENST00000392449,ENST00000532751,ENST00000368202</t>
  </si>
  <si>
    <t>ENSP00000357209,ENSP00000432973,ENSP00000357196,ENSP00000357193,ENSP00000357198,ENSP00000357190,ENSP00000406825,ENSP00000408180,ENSP00000432960,ENSP00000434058,ENSP00000434116,ENSP00000376243,ENSP00000437299</t>
  </si>
  <si>
    <t>NM_001135776,NM_014007</t>
  </si>
  <si>
    <t>NP_001129248.1,NP_054726.1</t>
  </si>
  <si>
    <t>ENST00000373464,ENST00000450858,ENST00000373457,ENST00000497064,ENST00000449886</t>
  </si>
  <si>
    <t>ENSP00000362563,ENSP00000412145,ENSP00000362556,ENSP00000390344</t>
  </si>
  <si>
    <t>ENST00000229179,ENST00000540453,ENST00000535333,ENST00000537598,ENST00000535718,ENST00000539906,ENST00000538549,ENST00000545140,ENST00000539373,ENST00000537662,ENST00000538993,ENST00000401003,ENST00000378905</t>
  </si>
  <si>
    <t>ENSP00000229179,ENSP00000445567,ENSP00000441448,ENSP00000440116,ENSP00000441334,ENSP00000368185</t>
  </si>
  <si>
    <t>ENST00000225388,ENST00000579665</t>
  </si>
  <si>
    <t>ENSP00000225388,ENSP00000463450</t>
  </si>
  <si>
    <t>NM_001202438,NM_015608</t>
  </si>
  <si>
    <t>NP_001189367.1,NP_056423.2</t>
  </si>
  <si>
    <t>ENST00000419769,ENST00000481600,ENST00000356792,ENST00000368815,ENST00000525091,ENST00000337623,ENST00000530795,ENST00000368813,ENST00000469725,ENST00000525524,ENST00000527655,ENST00000368812,ENST00000525358</t>
  </si>
  <si>
    <t>ENSP00000396544,ENSP00000431902,ENSP00000349244,ENSP00000357805,ENSP00000336727,ENSP00000432229,ENSP00000357803,ENSP00000432102</t>
  </si>
  <si>
    <t>ENSP00000385632,ENSP00000368730,ENSP00000379881,ENSP00000430262</t>
  </si>
  <si>
    <t>ENST00000465130,ENST00000470250,ENST00000471232,ENST00000461788,ENST00000496555,ENST00000497023,ENST00000462504,ENST00000483194,ENST00000431454,ENST00000444173,ENST00000466527,ENST00000421745</t>
  </si>
  <si>
    <t>ENSP00000393590,ENSP00000413090,ENSP00000393596</t>
  </si>
  <si>
    <t>ENST00000263239,ENST00000474694,ENST00000489933,ENST00000415038,ENST00000476149,ENST00000461443</t>
  </si>
  <si>
    <t>ENSP00000263239,ENSP00000415604</t>
  </si>
  <si>
    <t>ENST00000264451,ENST00000513699,ENST00000510460,ENST00000509683,ENST00000505523</t>
  </si>
  <si>
    <t>ENSP00000264451,ENSP00000423529</t>
  </si>
  <si>
    <t>ENST00000512760,ENST00000342820,ENST00000511594,ENST00000512733,ENST00000515541,ENST00000503343,ENST00000395594,ENST00000515853,ENST00000505715,ENST00000512299,ENST00000505735,ENST00000508599</t>
  </si>
  <si>
    <t>ENSP00000426875,ENSP00000344203,ENSP00000425080,ENSP00000421981,ENSP00000378959,ENSP00000422357,ENSP00000420848</t>
  </si>
  <si>
    <t>ENST00000337859,ENST00000421536,ENST00000437396,ENST00000477672,ENST00000481101,ENST00000468120,ENST00000496289,ENST00000498757,ENST00000445547</t>
  </si>
  <si>
    <t>ENSP00000338788,ENSP00000410981,ENSP00000407192,ENSP00000415788</t>
  </si>
  <si>
    <t>NM_016569,NM_005996</t>
  </si>
  <si>
    <t>NP_057653.3,NP_005987.3</t>
  </si>
  <si>
    <t>ENST00000349155,ENST00000257566,ENST00000548503,ENST00000552054,ENST00000613550</t>
  </si>
  <si>
    <t>ENSP00000257567,ENSP00000257566,ENSP00000480048</t>
  </si>
  <si>
    <t>NM_001136555,NM_001136554,NM_012290</t>
  </si>
  <si>
    <t>NP_001130027.1,NP_001130026.1,NP_036422.3</t>
  </si>
  <si>
    <t>ENST00000431350,ENST00000360843,ENST00000359766,ENST00000521943,ENST00000434911,ENST00000409443,ENST00000413010,ENST00000478683,ENST00000486857,ENST00000453628,ENST00000470340,ENST00000466220</t>
  </si>
  <si>
    <t>ENSP00000411099,ENSP00000354089,ENSP00000352810,ENSP00000428113,ENSP00000409222,ENSP00000387313,ENSP00000393165</t>
  </si>
  <si>
    <t>NR_034069,NM_003137</t>
  </si>
  <si>
    <t>-,NP_003128.3</t>
  </si>
  <si>
    <t>ENST00000373825,ENST00000361690,ENST00000346162,ENST00000423325,ENST00000505885,ENST00000507292,ENST00000502969,ENST00000510290,ENST00000373821,ENST00000508473,ENST00000512445,ENST00000513367,ENST00000507909,ENST00000373822</t>
  </si>
  <si>
    <t>ENSP00000362931,ENSP00000354674,ENSP00000391069,ENSP00000422886,ENSP00000424170,ENSP00000425172,ENSP00000424068,ENSP00000424323,ENSP00000362928</t>
  </si>
  <si>
    <t>ENST00000453153,ENST00000490590,ENST00000453929,ENST00000495505,ENST00000488951,ENST00000488516,ENST00000487293,ENST00000417376,ENST00000438035,ENST00000445210</t>
  </si>
  <si>
    <t>ENSP00000400513,ENSP00000403229,ENSP00000408667,ENSP00000396769,ENSP00000399551</t>
  </si>
  <si>
    <t>NM_001174151,NM_144996,NM_001174150,NM_182896,NR_033427</t>
  </si>
  <si>
    <t>NP_001167622.1,NP_659433.2,NP_001167621.1,NP_878899.1,-</t>
  </si>
  <si>
    <t>ENST00000478400,ENST00000303097,ENST00000394222,ENST00000471138,ENST00000460371,ENST00000335438,ENST00000486562,ENST00000475206,ENST00000492165,ENST00000535334</t>
  </si>
  <si>
    <t>ENSP00000306225,ENSP00000377769,ENSP00000420780,ENSP00000417263,ENSP00000335400,ENSP00000445145</t>
  </si>
  <si>
    <t>NM_016628,NM_100486</t>
  </si>
  <si>
    <t>NP_057712.2,NP_567823.1</t>
  </si>
  <si>
    <t>ENST00000375664,ENST00000526722,ENST00000528491,ENST00000532233,ENST00000375646,ENST00000347934,ENST00000354911,ENST00000420266,ENST00000424454,ENST00000530865,ENST00000442148,ENST00000448193,ENST00000414108,ENST00000439676,ENST00000345541,ENST00000472862,ENST00000476046,ENST00000495268,ENST00000480474,ENST00000628285,ENST00000428935</t>
  </si>
  <si>
    <t>ENSP00000364816,ENSP00000434903,ENSP00000364797,ENSP00000311106,ENSP00000346986,ENSP00000404758,ENSP00000404125,ENSP00000400848,ENSP00000395008,ENSP00000415645,ENSP00000415727,ENSP00000486994,ENSP00000399706</t>
  </si>
  <si>
    <t>Homo sapiens zyg-11 family member B, cell cycle regulator (ZYG11B)</t>
  </si>
  <si>
    <t>ENST00000294353,ENST00000545132</t>
  </si>
  <si>
    <t>ENSP00000294353,ENSP00000441315</t>
  </si>
  <si>
    <t>NM_022487,NM_001033855,NM_001033858,NM_001033857</t>
  </si>
  <si>
    <t>NP_071932.2,NP_001029027.1,NP_001029030.1,NP_001029029.1</t>
  </si>
  <si>
    <t>ENST00000378289,ENST00000378246,ENST00000357717,ENST00000378249,ENST00000396817,ENST00000378255,ENST00000378254,ENST00000378278,ENST00000378258,ENST00000378242,ENST00000492201,ENST00000489845,ENST00000489161,ENST00000418843,ENST00000378241,ENST00000456122</t>
  </si>
  <si>
    <t>ENSP00000367538,ENSP00000367492,ENSP00000350349,ENSP00000367496,ENSP00000380030,ENSP00000367503,ENSP00000367502,ENSP00000367527,ENSP00000367506,ENSP00000367488,ENSP00000391428,ENSP00000367487,ENSP00000413180</t>
  </si>
  <si>
    <t>ENSP00000441520,ENSP00000405812,ENSP00000442561,ENSP00000351483</t>
  </si>
  <si>
    <t>ENST00000439040,ENST00000429136,ENST00000461660,ENST00000497567,ENST00000484023,ENST00000485194,ENST00000492983,ENST00000457986,ENST00000446356,ENST00000256031,ENST00000619199</t>
  </si>
  <si>
    <t>ENSP00000416508,ENSP00000402550,ENSP00000406234,ENSP00000410767,ENSP00000256031,ENSP00000482200</t>
  </si>
  <si>
    <t>ENST00000590871,ENST00000588567,ENST00000586228,ENST00000588219,ENST00000313040,ENST00000589707,ENST00000591019,ENST00000588394,ENST00000589005,ENST00000586048,ENST00000589237,ENST00000391961,ENST00000621083</t>
  </si>
  <si>
    <t>ENSP00000467496,ENSP00000464866,ENSP00000321049,ENSP00000465071,ENSP00000466197,ENSP00000467577,ENSP00000464800,ENSP00000375823,ENSP00000482749</t>
  </si>
  <si>
    <t>ENST00000273963,ENST00000498875,ENST00000425278,ENST00000506985,ENST00000512111,ENST00000505388,ENST00000504029,ENST00000506274</t>
  </si>
  <si>
    <t>ENSP00000273963,ENSP00000426451,ENSP00000408854,ENSP00000426361,ENSP00000424131</t>
  </si>
  <si>
    <t>Homo sapiens chloride channel, voltage-sensitive 3 (CLCN3)</t>
  </si>
  <si>
    <t>NM_001243372,NM_173872,NM_001829,NM_001243374</t>
  </si>
  <si>
    <t>NP_001230301.1,NP_776297.2,NP_001820.2,NP_001230303.1</t>
  </si>
  <si>
    <t>ENST00000511092,ENST00000513761,ENST00000347613,ENST00000360642,ENST00000512813,ENST00000506924,ENST00000507875,ENST00000502998,ENST00000515420,ENST00000613795,ENST00000504131</t>
  </si>
  <si>
    <t>ENSP00000425160,ENSP00000424603,ENSP00000261514,ENSP00000353857,ENSP00000425823,ENSP00000425323,ENSP00000422678,ENSP00000478336,ENSP00000424540</t>
  </si>
  <si>
    <t>ENST00000403681,ENST00000537275,ENST00000393578,ENST00000537429,ENST00000425208,ENST00000536545,ENST00000354636,ENST00000545998,ENST00000541363,ENST00000393577,ENST00000539662</t>
  </si>
  <si>
    <t>ENSP00000384026,ENSP00000437747,ENSP00000377206,ENSP00000443372,ENSP00000407306,ENSP00000437621,ENSP00000346658,ENSP00000439317,ENSP00000377205,ENSP00000440919</t>
  </si>
  <si>
    <t>NM_001173465,NM_001173464,NM_001173463,NM_017641</t>
  </si>
  <si>
    <t>NP_001166936.1,NP_001166935.1,NP_001166934.1,NP_060111.2</t>
  </si>
  <si>
    <t>ENST00000552908,ENST00000550429,ENST00000546817,ENST00000551066,ENST00000552475,ENST00000547108,ENST00000541463,ENST00000361418,ENST00000544797,ENST00000552961,ENST00000551264,ENST00000361961,ENST00000547733</t>
  </si>
  <si>
    <t>ENSP00000449700,ENSP00000447070,ENSP00000449698,ENSP00000438075,ENSP00000354878,ENSP00000445606,ENSP00000447765,ENSP00000448792,ENSP00000354851</t>
  </si>
  <si>
    <t>NM_001130140,NM_022350</t>
  </si>
  <si>
    <t>NP_001123612.1,NP_071745.1</t>
  </si>
  <si>
    <t>ENST00000437043,ENST00000510373,ENST00000513084,ENST00000379904,ENST00000510309,ENST00000507346,ENST00000508077,ENST00000515095,ENST00000515387,ENST00000513368,ENST00000512869</t>
  </si>
  <si>
    <t>ENSP00000400376,ENSP00000421175,ENSP00000421849,ENSP00000369235,ENSP00000425758,ENSP00000426655,ENSP00000427573,ENSP00000425415</t>
  </si>
  <si>
    <t>NM_018846,NM_001031710,NR_033328</t>
  </si>
  <si>
    <t>NP_061334.4,NP_001026880.2,-</t>
  </si>
  <si>
    <t>ENST00000479288,ENST00000521082,ENST00000339077,ENST00000322275,ENST00000459661,ENST00000491352,ENST00000409689,ENST00000410047,ENST00000479700,ENST00000477076,ENST00000414163,ENST00000469576,ENST00000469845</t>
  </si>
  <si>
    <t>ENSP00000430351,ENSP00000343273,ENSP00000323270,ENSP00000386263,ENSP00000386999,ENSP00000404181</t>
  </si>
  <si>
    <t>ENST00000336273,ENST00000519934,ENST00000522313,ENST00000519293,ENST00000521933,ENST00000522104</t>
  </si>
  <si>
    <t>ENSP00000338235,ENSP00000428168,ENSP00000428703,ENSP00000429289,ENSP00000429642</t>
  </si>
  <si>
    <t>ENST00000264433,ENST00000504704,ENST00000505445,ENST00000512986,ENST00000504715,ENST00000505130</t>
  </si>
  <si>
    <t>ENSP00000264433,ENSP00000421488,ENSP00000420841</t>
  </si>
  <si>
    <t>NM_001243763,NM_001035230,NM_014857</t>
  </si>
  <si>
    <t>NP_001230692.1,NP_001030307.1,NP_055672.3</t>
  </si>
  <si>
    <t>ENST00000357444,ENST00000251507,ENST00000457696,ENST00000487987,ENST00000529474,ENST00000367690,ENST00000526253,ENST00000474375,ENST00000529145,ENST00000325589,ENST00000469553,ENST00000367686,ENST00000367687,ENST00000347255,ENST00000489615,ENST00000478442,ENST00000465412,ENST00000486220,ENST00000367688,ENST00000485114,ENST00000461613,ENST00000392064</t>
  </si>
  <si>
    <t>ENSP00000350027,ENSP00000251507,ENSP00000403136,ENSP00000318603,ENSP00000432734,ENSP00000356660,ENSP00000281844,ENSP00000420660,ENSP00000434600,ENSP00000435911,ENSP00000432490,ENSP00000356661,ENSP00000375916</t>
  </si>
  <si>
    <t>NM_001134666,NM_001134665,NM_152292</t>
  </si>
  <si>
    <t>NP_001128138.1,NP_001128137.1,NP_689505.1</t>
  </si>
  <si>
    <t>ENST00000394877,ENST00000273962,ENST00000394876,ENST00000455368,ENST00000514547,ENST00000515831,ENST00000507394</t>
  </si>
  <si>
    <t>ENSP00000378343,ENSP00000273962,ENSP00000378342,ENSP00000397551,ENSP00000423628</t>
  </si>
  <si>
    <t>ENST00000511216,ENST00000389851,ENST00000507531,ENST00000505716,ENST00000511563,ENST00000512728,ENST00000503548,ENST00000507422</t>
  </si>
  <si>
    <t>ENSP00000425130,ENSP00000374501,ENSP00000421741,ENSP00000423340,ENSP00000427701,ENSP00000422795</t>
  </si>
  <si>
    <t>Homo sapiens phospholipase D1, phosphatidylcholine-specific (PLD1)</t>
  </si>
  <si>
    <t>NM_001130081,NM_002662</t>
  </si>
  <si>
    <t>NP_001123553.1,NP_002653.1</t>
  </si>
  <si>
    <t>ENST00000463281,ENST00000356327,ENST00000351298,ENST00000446289,ENST00000465816,ENST00000467432,ENST00000471075,ENST00000481505,ENST00000498278,ENST00000475273,ENST00000440204,ENST00000418087,ENST00000489995,ENST00000460926,ENST00000497307,ENST00000627725,ENST00000331659</t>
  </si>
  <si>
    <t>ENSP00000348681,ENSP00000342793,ENSP00000395556,ENSP00000391164,ENSP00000400639,ENSP00000486967,ENSP00000328422</t>
  </si>
  <si>
    <t>NM_007276,NM_016587</t>
  </si>
  <si>
    <t>NP_009207.2,NP_057671.2</t>
  </si>
  <si>
    <t>ENST00000337620,ENST00000396386,ENST00000456948,ENST00000409747,ENST00000497498,ENST00000481300,ENST00000462165,ENST00000481057</t>
  </si>
  <si>
    <t>ENSP00000336687,ENSP00000379670,ENSP00000408672,ENSP00000387348,ENSP00000473748</t>
  </si>
  <si>
    <t>NM_145759,NM_001033910,NM_004619</t>
  </si>
  <si>
    <t>NP_665702.1,NP_001029082.1,NP_004610.1</t>
  </si>
  <si>
    <t>ENST00000462410,ENST00000488428,ENST00000494355,ENST00000261464,ENST00000367004,ENST00000473385,ENST00000336184</t>
  </si>
  <si>
    <t>ENSP00000261464,ENSP00000355971,ENSP00000336825</t>
  </si>
  <si>
    <t>NM_030920,NM_001136478,NM_001136479</t>
  </si>
  <si>
    <t>NP_112182.1,NP_001129950.1,NP_001129951.1</t>
  </si>
  <si>
    <t>ENST00000583931,ENST00000616917,ENST00000436748,ENST00000534437,ENST00000369114,ENST00000369115,ENST00000533654,ENST00000534220,ENST00000532744,ENST00000629042</t>
  </si>
  <si>
    <t>ENSP00000463154,ENSP00000481415,ENSP00000393718,ENSP00000431434,ENSP00000358110,ENSP00000358111,ENSP00000435215,ENSP00000436529,ENSP00000432684,ENSP00000487027</t>
  </si>
  <si>
    <t>ENST00000265339,ENST00000510021,ENST00000511807,ENST00000506787,ENST00000507277,ENST00000504431,ENST00000499038,ENST00000503080</t>
  </si>
  <si>
    <t>ENSP00000265339,ENSP00000425237,ENSP00000426364,ENSP00000425137</t>
  </si>
  <si>
    <t>NM_007086,NM_001008396</t>
  </si>
  <si>
    <t>NP_009017.1,NP_001008397.1</t>
  </si>
  <si>
    <t>ENST00000360586,ENST00000420358,ENST00000567693,ENST00000475379,ENST00000455555</t>
  </si>
  <si>
    <t>ENSP00000353793,ENSP00000399349,ENSP00000456806,ENSP00000413435</t>
  </si>
  <si>
    <t>NM_001145076,NM_019063</t>
  </si>
  <si>
    <t>NP_001138548.1,NP_061936.2</t>
  </si>
  <si>
    <t>ENST00000318522,ENST00000402711,ENST00000409040,ENST00000482660,ENST00000401738,ENST00000480320,ENST00000406175,ENST00000472632</t>
  </si>
  <si>
    <t>ENSP00000320663,ENSP00000385059,ENSP00000384939</t>
  </si>
  <si>
    <t>ENST00000566224,ENST00000564117,ENST00000566273,ENST00000569230,ENST00000566004,ENST00000542333,ENST00000567329,ENST00000570256,ENST00000566131,ENST00000569448,ENST00000567692,ENST00000562051,ENST00000563043,ENST00000562615,ENST00000565883,ENST00000567113,ENST00000563085,ENST00000565455,ENST00000381886,ENST00000563961,ENST00000344836</t>
  </si>
  <si>
    <t>ENSP00000457815,ENSP00000455719,ENSP00000457237,ENSP00000456150,ENSP00000439272,ENSP00000458027,ENSP00000459594,ENSP00000454795,ENSP00000456258,ENSP00000371310,ENSP00000454362,ENSP00000343535</t>
  </si>
  <si>
    <t>Homo sapiens missing oocyte, meiosis regulator, homolog (Drosophila)</t>
  </si>
  <si>
    <t>ENST00000340080,ENST00000405785,ENST00000433635,ENST00000456533,ENST00000433056,ENST00000445169,ENST00000461907,ENST00000493227,ENST00000479694</t>
  </si>
  <si>
    <t>ENSP00000339881,ENSP00000384088,ENSP00000413050,ENSP00000410752,ENSP00000407518,ENSP00000413489</t>
  </si>
  <si>
    <t>ENST00000556440,ENST00000579860,ENST00000580188,ENST00000581056,ENST00000553956,ENST00000582724,ENST00000577960,ENST00000577476,ENST00000579117,ENST00000583457,ENST00000579478,ENST00000584857,ENST00000579637,ENST00000582698,ENST00000580285,ENST00000581885,ENST00000583676,ENST00000581980,ENST00000553412</t>
  </si>
  <si>
    <t>ENSP00000450461,ENSP00000462779,ENSP00000467102,ENSP00000462189,ENSP00000452317,ENSP00000463535,ENSP00000462639,ENSP00000461924,ENSP00000462307,ENSP00000450906</t>
  </si>
  <si>
    <t>Homo sapiens adaptor-related protein complex 1, sigma 3 subunit (AP1S3)</t>
  </si>
  <si>
    <t>ENST00000443700,ENST00000415298,ENST00000334271,ENST00000396654,ENST00000396653,ENST00000446015,ENST00000444408,ENST00000409375</t>
  </si>
  <si>
    <t>ENSP00000397155,ENSP00000401705,ENSP00000333888,ENSP00000379891,ENSP00000379890,ENSP00000388738,ENSP00000399738,ENSP00000387199</t>
  </si>
  <si>
    <t>ENST00000251527,ENST00000275418,ENST00000435514,ENST00000483958,ENST00000497111,ENST00000613624</t>
  </si>
  <si>
    <t>ENSP00000251527,ENSP00000275418,ENSP00000481296</t>
  </si>
  <si>
    <t>Homo sapiens TSR1, 20S rRNA accumulation, homolog (S. cerevisiae)</t>
  </si>
  <si>
    <t>ENST00000301364,ENST00000575049,ENST00000576112,ENST00000571806,ENST00000576202</t>
  </si>
  <si>
    <t>ENSP00000301364,ENSP00000461192,ENSP00000459012,ENSP00000461498</t>
  </si>
  <si>
    <t>NM_033481,NM_033480,NM_012347</t>
  </si>
  <si>
    <t>NP_258442.2,NP_258441.1,NP_036479.1</t>
  </si>
  <si>
    <t>ENST00000459845,ENST00000498744,ENST00000370939,ENST00000461222,ENST00000323557,ENST00000473337,ENST00000244426,ENST00000468481,ENST00000480463,ENST00000484812,ENST00000474457,ENST00000484436,ENST00000473318</t>
  </si>
  <si>
    <t>ENSP00000417154,ENSP00000418858,ENSP00000359977,ENSP00000326968,ENSP00000420536,ENSP00000244426,ENSP00000477487,ENSP00000417349</t>
  </si>
  <si>
    <t>Homo sapiens zinc finger, CCHC domain containing 7 (ZCCHC7)</t>
  </si>
  <si>
    <t>ENST00000336755,ENST00000322831,ENST00000461038,ENST00000488607,ENST00000463625,ENST00000497924,ENST00000481507,ENST00000496099,ENST00000534928</t>
  </si>
  <si>
    <t>ENSP00000337839,ENSP00000316365,ENSP00000443113</t>
  </si>
  <si>
    <t>Homo sapiens rabaptin, RAB GTPase binding effector protein 1 (RABEP1)</t>
  </si>
  <si>
    <t>NM_001083585,NM_004703</t>
  </si>
  <si>
    <t>NP_001077054.1,NP_004694.2</t>
  </si>
  <si>
    <t>ENST00000575991,ENST00000537505,ENST00000575475,ENST00000341923,ENST00000570487,ENST00000574568,ENST00000572250</t>
  </si>
  <si>
    <t>ENSP00000459550,ENSP00000445408,ENSP00000339569,ENSP00000482983,ENSP00000460980,ENSP00000466981</t>
  </si>
  <si>
    <t>ENST00000305123,ENST00000498335</t>
  </si>
  <si>
    <t>Homo sapiens inhibitor of DNA binding 4, dominant negative helix-loop-helix protein (ID4)</t>
  </si>
  <si>
    <t>ENST00000378700,ENST00000618493</t>
  </si>
  <si>
    <t>ENSP00000367972,ENSP00000480976</t>
  </si>
  <si>
    <t>ENST00000261435,ENST00000511480,ENST00000515550,ENST00000513269</t>
  </si>
  <si>
    <t>ENSP00000261435,ENSP00000422436,ENSP00000422057,ENSP00000426430</t>
  </si>
  <si>
    <t>NM_012141,NM_001039937</t>
  </si>
  <si>
    <t>NP_036273.1,NP_001035026.1</t>
  </si>
  <si>
    <t>ENST00000476666,ENST00000398119,ENST00000469430,ENST00000311234,ENST00000497989,ENST00000483441,ENST00000490542,ENST00000493153,ENST00000483746,ENST00000460868,ENST00000486195,ENST00000491189,ENST00000466784,ENST00000491723,ENST00000461515,ENST00000491997,ENST00000488009,ENST00000485178,ENST00000483288,ENST00000442263</t>
  </si>
  <si>
    <t>ENSP00000381187,ENSP00000417442,ENSP00000310260,ENSP00000419871,ENSP00000419984,ENSP00000418026,ENSP00000419287,ENSP00000419144,ENSP00000419569,ENSP00000417707,ENSP00000411245</t>
  </si>
  <si>
    <t>NM_001270697,NM_001270699,NM_001270698,NM_001270696,NM_001270695,NM_018287</t>
  </si>
  <si>
    <t>NP_001257626.1,NP_001257628.1,NP_001257627.1,NP_001257625.1,NP_001257624.1,NP_060757.4</t>
  </si>
  <si>
    <t>ENST00000311380,ENST00000375250,ENST00000492028,ENST00000497085,ENST00000493008,ENST00000344936,ENST00000497103,ENST00000454919,ENST00000375245,ENST00000396144</t>
  </si>
  <si>
    <t>ENSP00000310984,ENSP00000364399,ENSP00000345808,ENSP00000398050,ENSP00000364394,ENSP00000379448</t>
  </si>
  <si>
    <t>Homo sapiens junction mediating and regulatory protein, p53 cofactor (JMY)</t>
  </si>
  <si>
    <t>ENST00000396137,ENST00000412001</t>
  </si>
  <si>
    <t>ENST00000528280,ENST00000532149,ENST00000618450,ENST00000531695,ENST00000529472,ENST00000527921,ENST00000527900,ENST00000527825,ENST00000525508,ENST00000524602,ENST00000526846,ENST00000423902</t>
  </si>
  <si>
    <t>ENSP00000433336,ENSP00000432627,ENSP00000436027,ENSP00000437061,ENSP00000436492,ENSP00000392028</t>
  </si>
  <si>
    <t>ENST00000314761,ENST00000436347,ENST00000472286,ENST00000475596,ENST00000427960,ENST00000498365,ENST00000631047</t>
  </si>
  <si>
    <t>ENSP00000314193,ENSP00000414226,ENSP00000400728,ENSP00000486831</t>
  </si>
  <si>
    <t>Homo sapiens eukaryotic translation initiation factor 4 gamma, 3 (EIF4G3)</t>
  </si>
  <si>
    <t>NM_003760,NM_001198802,NM_001198801</t>
  </si>
  <si>
    <t>NP_003751.2,NP_001185731.1,NP_001185730.1</t>
  </si>
  <si>
    <t>ENST00000264211,ENST00000602326,ENST00000435383,ENST00000496705,ENST00000374933,ENST00000485722,ENST00000356916,ENST00000438975,ENST00000411888,ENST00000476088,ENST00000463775,ENST00000400422,ENST00000374935</t>
  </si>
  <si>
    <t>ENSP00000264211,ENSP00000473510,ENSP00000349386,ENSP00000395381,ENSP00000396083,ENSP00000383274,ENSP00000364071</t>
  </si>
  <si>
    <t>Homo sapiens synovial sarcoma translocation, chromosome 18 (SS18)</t>
  </si>
  <si>
    <t>NM_001007559,NM_005637</t>
  </si>
  <si>
    <t>NP_001007560.1,NP_005628.2</t>
  </si>
  <si>
    <t>ENST00000415083,ENST00000542420,ENST00000579640,ENST00000269138,ENST00000269137,ENST00000585121,ENST00000580958,ENST00000582092,ENST00000539244,ENST00000585241,ENST00000578954,ENST00000579061,ENST00000577636,ENST00000584083,ENST00000578700,ENST00000582792,ENST00000581021,ENST00000577572,ENST00000582448,ENST00000581570,ENST00000577751,ENST00000580003,ENST00000580751,ENST00000580642,ENST00000578595,ENST00000583595</t>
  </si>
  <si>
    <t>ENSP00000414516,ENSP00000438066,ENSP00000462363,ENSP00000269138,ENSP00000269137,ENSP00000462838,ENSP00000441760,ENSP00000464664,ENSP00000462766,ENSP00000463933,ENSP00000463943,ENSP00000464673,ENSP00000463928,ENSP00000463586,ENSP00000463802,ENSP00000464609,ENSP00000464556,ENSP00000464049,ENSP00000462104</t>
  </si>
  <si>
    <t>NM_031267,NM_003718</t>
  </si>
  <si>
    <t>NP_112557.2,NP_003709.3</t>
  </si>
  <si>
    <t>ENST00000181839,ENST00000340829,ENST00000484589,ENST00000478563,ENST00000465643,ENST00000613626,ENST00000611390</t>
  </si>
  <si>
    <t>ENSP00000181839,ENSP00000340557,ENSP00000480835,ENSP00000484610</t>
  </si>
  <si>
    <t>NM_001130060,NM_006856</t>
  </si>
  <si>
    <t>NP_001123532.1,NP_006847.1</t>
  </si>
  <si>
    <t>ENST00000548446,ENST00000420353,ENST00000456903,ENST00000551087,ENST00000546661,ENST00000588232,ENST00000551480,ENST00000588078,ENST00000548118,ENST00000591397,ENST00000550373,ENST00000589726</t>
  </si>
  <si>
    <t>ENSP00000449938,ENSP00000399465,ENSP00000387406,ENSP00000465850,ENSP00000449817,ENSP00000468623,ENSP00000456858,ENSP00000465192</t>
  </si>
  <si>
    <t>ENST00000379310,ENST00000478987,ENST00000281496,ENST00000379302</t>
  </si>
  <si>
    <t>ENSP00000368612,ENSP00000281496</t>
  </si>
  <si>
    <t>NM_025160,NM_001115113</t>
  </si>
  <si>
    <t>NP_079436.4,NP_001108585.2</t>
  </si>
  <si>
    <t>ENST00000414423,ENST00000480676,ENST00000486652,ENST00000479727,ENST00000443112,ENST00000489825,ENST00000477425,ENST00000445239,ENST00000479778</t>
  </si>
  <si>
    <t>ENSP00000408108,ENSP00000424784,ENSP00000422758,ENSP00000403597</t>
  </si>
  <si>
    <t>ENST00000261667,ENST00000436760</t>
  </si>
  <si>
    <t>ENSP00000261667,ENSP00000393869</t>
  </si>
  <si>
    <t>Homo sapiens fragile X mental retardation, autosomal homolog 1 (FXR1)</t>
  </si>
  <si>
    <t>NM_001013439,NM_001013438,NM_005087</t>
  </si>
  <si>
    <t>NP_001013457.1,NP_001013456.1,NP_005078.2</t>
  </si>
  <si>
    <t>ENST00000469882,ENST00000484790,ENST00000465551,ENST00000357559,ENST00000305586,ENST00000475315,ENST00000491674,ENST00000479176,ENST00000491062,ENST00000468861,ENST00000445140,ENST00000472339,ENST00000484958,ENST00000480918,ENST00000484042,ENST00000461801,ENST00000473375,ENST00000461044,ENST00000498658,ENST00000476672,ENST00000482125,ENST00000481383</t>
  </si>
  <si>
    <t>ENSP00000419793,ENSP00000417125,ENSP00000418724,ENSP00000350170,ENSP00000307633,ENSP00000419047,ENSP00000420643,ENSP00000420515,ENSP00000388828,ENSP00000419933,ENSP00000418097,ENSP00000417513,ENSP00000418027</t>
  </si>
  <si>
    <t>NM_206909,NM_015310</t>
  </si>
  <si>
    <t>NP_996792.1,NP_056125.3</t>
  </si>
  <si>
    <t>ENST00000327040,ENST00000286485,ENST00000428502,ENST00000523619,ENST00000518315,ENST00000521878,ENST00000520858,ENST00000519851,ENST00000519653,ENST00000518963,ENST00000517971,ENST00000518303,ENST00000521027,ENST00000519633,ENST00000520789,ENST00000521475,ENST00000521841,ENST00000615573,ENST00000440756,ENST00000614430</t>
  </si>
  <si>
    <t>ENSP00000324127,ENSP00000286485,ENSP00000393228,ENSP00000430640,ENSP00000428889,ENSP00000430744,ENSP00000429069,ENSP00000430043,ENSP00000427897,ENSP00000428405,ENSP00000484565,ENSP00000401704,ENSP00000480930</t>
  </si>
  <si>
    <t>ENST00000258742,ENST00000485250,ENST00000438012,ENST00000497500,ENST00000410002,ENST00000487595,ENST00000413919,ENST00000437140,ENST00000486136,ENST00000477844,ENST00000489145,ENST00000548367</t>
  </si>
  <si>
    <t>ENSP00000258742,ENSP00000415511,ENSP00000387330,ENSP00000401475,ENSP00000406677,ENSP00000482736</t>
  </si>
  <si>
    <t>ENST00000449987,ENST00000267229,ENST00000438737,ENST00000461008,ENST00000472143,ENST00000438724,ENST00000622611</t>
  </si>
  <si>
    <t>ENSP00000401474,ENSP00000267229,ENSP00000387531,ENSP00000390222,ENSP00000483408</t>
  </si>
  <si>
    <t>ENST00000254958,ENST00000423891,ENST00000617357,ENST00000488480,ENST00000612857,ENST00000613518,ENST00000622545,ENST00000620743,ENST00000617965</t>
  </si>
  <si>
    <t>ENSP00000254958,ENSP00000481034,ENSP00000484139</t>
  </si>
  <si>
    <t>Homo sapiens pinin, desmosome associated protein (PNN)</t>
  </si>
  <si>
    <t>ENST00000553331,ENST00000216832,ENST00000556530,ENST00000554117,ENST00000554902,ENST00000557680</t>
  </si>
  <si>
    <t>ENSP00000452217,ENSP00000216832,ENSP00000452318</t>
  </si>
  <si>
    <t>ENST00000520539,ENST00000220959,ENST00000517465,ENST00000518205,ENST00000521922,ENST00000521767,ENST00000521312,ENST00000521566,ENST00000519528,ENST00000520898,ENST00000519365,ENST00000518145,ENST00000522327</t>
  </si>
  <si>
    <t>ENSP00000429084,ENSP00000220959,ENSP00000428693,ENSP00000427819,ENSP00000428062,ENSP00000429127,ENSP00000428138</t>
  </si>
  <si>
    <t>NM_001044305,NM_021940</t>
  </si>
  <si>
    <t>NP_001037770.1,NP_068759.2</t>
  </si>
  <si>
    <t>ENST00000370452,ENST00000316999,ENST00000370455,ENST00000445046,ENST00000439432,ENST00000619054</t>
  </si>
  <si>
    <t>ENSP00000359481,ENSP00000313382,ENSP00000359484,ENSP00000415426,ENSP00000398306,ENSP00000484538</t>
  </si>
  <si>
    <t>NM_001204803,NM_001142678,NM_001025356</t>
  </si>
  <si>
    <t>NP_001191732.1,NP_001136150.1,NP_001020527.2</t>
  </si>
  <si>
    <t>ENST00000426898,ENST00000425752,ENST00000423947,ENST00000550630,ENST00000320560,ENST00000441606,ENST00000551667</t>
  </si>
  <si>
    <t>ENSP00000391417,ENSP00000409126,ENSP00000449423,ENSP00000320087,ENSP00000413137</t>
  </si>
  <si>
    <t>Homo sapiens coagulation factor VIII, procoagulant component (F8)</t>
  </si>
  <si>
    <t>NM_000132,NM_019863</t>
  </si>
  <si>
    <t>NP_000123.1,NP_063916.1</t>
  </si>
  <si>
    <t>ENST00000330287,ENST00000360256,ENST00000483822,ENST00000423959,ENST00000453950</t>
  </si>
  <si>
    <t>ENSP00000327895,ENSP00000353393,ENSP00000409446,ENSP00000389153</t>
  </si>
  <si>
    <t>NM_001198665,NM_015313</t>
  </si>
  <si>
    <t>NP_001185594.1,NP_056128.1</t>
  </si>
  <si>
    <t>ENST00000356641,ENST00000397843,ENST00000532993,ENST00000529970,ENST00000530388,ENST00000528225,ENST00000525960,ENST00000532823,ENST00000525222,ENST00000612968,ENST00000530747,ENST00000531616,ENST00000526067,ENST00000528681</t>
  </si>
  <si>
    <t>ENSP00000349056,ENSP00000380942,ENSP00000432984</t>
  </si>
  <si>
    <t>NM_001164755,NM_001164754,NM_001164753,NM_001164752,NM_001164751,NM_032468,NM_032466</t>
  </si>
  <si>
    <t>NP_001158227.1,NP_001158226.1,NP_001158225.1,NP_001158224.1,NP_001158223.1,NP_115857.1,NP_115855.1</t>
  </si>
  <si>
    <t>ENST00000379454,ENST00000521909,ENST00000524173,ENST00000521499,ENST00000522349,ENST00000523897,ENST00000523927,ENST00000522919,ENST00000356457,ENST00000519234,ENST00000518068,ENST00000517903,ENST00000517847,ENST00000518441,ENST00000522835,ENST00000519678,ENST00000519264,ENST00000518306,ENST00000520198,ENST00000517856,ENST00000517928,ENST00000389204,ENST00000522603,ENST00000379449,ENST00000517661,ENST00000522325,ENST00000522036,ENST00000522343,ENST00000445642,ENST00000541428</t>
  </si>
  <si>
    <t>ENSP00000368767,ENSP00000479945,ENSP00000429718,ENSP00000478706,ENSP00000430516,ENSP00000348841,ENSP00000427823,ENSP00000429286,ENSP00000430245,ENSP00000429954,ENSP00000429160,ENSP00000483443,ENSP00000479830,ENSP00000427877,ENSP00000429743,ENSP00000373856,ENSP00000436188,ENSP00000368762,ENSP00000428060,ENSP00000394013,ENSP00000437864</t>
  </si>
  <si>
    <t>Homo sapiens RAB18, member RAS oncogene family (RAB18)</t>
  </si>
  <si>
    <t>NM_001256415,NM_001256412,NM_001256411,NM_001256410,NM_021252,NR_046172</t>
  </si>
  <si>
    <t>NP_001243344.1,NP_001243341.1,NP_001243340.1,NP_001243339.1,NP_067075.1,-</t>
  </si>
  <si>
    <t>ENST00000356940,ENST00000490236,ENST00000375802,ENST00000465772,ENST00000484281,ENST00000423465,ENST00000621805,ENST00000535776,ENST00000611151</t>
  </si>
  <si>
    <t>ENSP00000349415,ENSP00000364960,ENSP00000407872,ENSP00000478479,ENSP00000439321,ENSP00000483927</t>
  </si>
  <si>
    <t>NM_001199400,NM_001199399,NM_001199398,NM_001199397,NM_012224</t>
  </si>
  <si>
    <t>NP_001186329.1,NP_001186328.1,NP_001186327.1,NP_001186326.1,NP_036356.1</t>
  </si>
  <si>
    <t>ENST00000439128,ENST00000511633,ENST00000510533,ENST00000507142,ENST00000512193,ENST00000509912,ENST00000505119,ENST00000510108</t>
  </si>
  <si>
    <t>ENSP00000408020,ENSP00000423332,ENSP00000427653,ENSP00000424757,ENSP00000424938,ENSP00000421525,ENSP00000424152</t>
  </si>
  <si>
    <t>NM_001171894,NM_001130928,NM_001130927,NM_001130926,NM_005587</t>
  </si>
  <si>
    <t>NP_001165365.1,NP_001124400.1,NP_001124399.1,NP_001124398.1,NP_005578.2</t>
  </si>
  <si>
    <t>ENST00000560493,ENST00000354410,ENST00000558856,ENST00000558812,ENST00000559036,ENST00000558983,ENST00000557785,ENST00000558049,ENST00000449277,ENST00000557942,ENST00000559903,ENST00000561125,ENST00000338042</t>
  </si>
  <si>
    <t>ENSP00000453478,ENSP00000346389,ENSP00000454120,ENSP00000453441,ENSP00000454023,ENSP00000399460,ENSP00000453095,ENSP00000452989,ENSP00000337202</t>
  </si>
  <si>
    <t>Homo sapiens protein kinase, DNA-activated, catalytic polypeptide (PRKDC)</t>
  </si>
  <si>
    <t>NM_006904,NM_001081640</t>
  </si>
  <si>
    <t>NP_008835.5,NP_001075109.1</t>
  </si>
  <si>
    <t>ENST00000314191,ENST00000338368,ENST00000536429,ENST00000536483,ENST00000521331,ENST00000536710,ENST00000432581,ENST00000546304,ENST00000541488,ENST00000535375,ENST00000540819</t>
  </si>
  <si>
    <t>ENSP00000313420,ENSP00000345182,ENSP00000442177,ENSP00000441157</t>
  </si>
  <si>
    <t>NM_015083,NM_016507</t>
  </si>
  <si>
    <t>NP_055898.1,NP_057591.2</t>
  </si>
  <si>
    <t>ENST00000584632,ENST00000430627,ENST00000447079,ENST00000581593,ENST00000559663,ENST00000584336,ENST00000581963,ENST00000559545,ENST00000585161,ENST00000558240</t>
  </si>
  <si>
    <t>ENSP00000464641,ENSP00000407720,ENSP00000398880,ENSP00000453329</t>
  </si>
  <si>
    <t>Homo sapiens protein phosphatase, Mg2+/Mn2+ dependent, 1B (PPM1B)</t>
  </si>
  <si>
    <t>ENST00000419807,ENST00000409486,ENST00000409432,ENST00000282412,ENST00000378551,ENST00000378540,ENST00000345249,ENST00000409473,ENST00000459690,ENST00000487286,ENST00000488866</t>
  </si>
  <si>
    <t>ENSP00000390087,ENSP00000387287,ENSP00000282412,ENSP00000367813,ENSP00000326089,ENSP00000386982</t>
  </si>
  <si>
    <t>NM_001001521,NM_006759</t>
  </si>
  <si>
    <t>NP_001001521.1,NP_006750.3</t>
  </si>
  <si>
    <t>ENST00000394417,ENST00000466642,ENST00000484142,ENST00000482668,ENST00000467648,ENST00000497510,ENST00000483461,ENST00000480679,ENST00000483108,ENST00000487469,ENST00000493222,ENST00000467400,ENST00000487640,ENST00000337130,ENST00000475550,ENST00000484056,ENST00000488245,ENST00000497883,ENST00000445915,ENST00000496334,ENST00000467999,ENST00000475462,ENST00000487042,ENST00000491621,ENST00000472047,ENST00000465515,ENST00000494536,ENST00000495020,ENST00000613823,ENST00000627474,ENST00000626380</t>
  </si>
  <si>
    <t>ENSP00000377939,ENSP00000418619,ENSP00000418375,ENSP00000419548,ENSP00000420793,ENSP00000418179,ENSP00000417286,ENSP00000417801,ENSP00000418206,ENSP00000419019,ENSP00000419551,ENSP00000338703,ENSP00000419442,ENSP00000420131,ENSP00000411803,ENSP00000420760,ENSP00000418642,ENSP00000419335,ENSP00000417358,ENSP00000420342,ENSP00000419238,ENSP00000482043,ENSP00000486008,ENSP00000486332</t>
  </si>
  <si>
    <t>NM_002026,NM_212482,NM_212478,NM_212476,NM_212474</t>
  </si>
  <si>
    <t>NP_002017.1,NP_997647.1,NP_997643.1,NP_997641.1,NP_997639.1</t>
  </si>
  <si>
    <t>ENST00000421182,ENST00000323926,ENST00000336916,ENST00000357867,ENST00000354785,ENST00000492816,ENST00000446046,ENST00000443816,ENST00000432072,ENST00000498719,ENST00000356005,ENST00000456923,ENST00000494446,ENST00000469569,ENST00000473614,ENST00000480024,ENST00000461974,ENST00000485567,ENST00000460217,ENST00000438981,ENST00000474036,ENST00000490833,ENST00000480737,ENST00000471193,ENST00000426059,ENST00000496542,ENST00000359671</t>
  </si>
  <si>
    <t>ENSP00000394423,ENSP00000323534,ENSP00000338200,ENSP00000350534,ENSP00000346839,ENSP00000410422,ENSP00000415018,ENSP00000399538,ENSP00000348285,ENSP00000416139,ENSP00000392565,ENSP00000398907,ENSP00000352696</t>
  </si>
  <si>
    <t>ENST00000075120,ENST00000543435,ENST00000486749,ENST00000469295,ENST00000479059,ENST00000490763,ENST00000495813,ENST00000544291,ENST00000544936,ENST00000476634,ENST00000541671</t>
  </si>
  <si>
    <t>ENSP00000075120,ENSP00000440750,ENSP00000441496</t>
  </si>
  <si>
    <t>ENST00000522470,ENST00000519460,ENST00000434581,ENST00000334667,ENST00000519784,ENST00000517576,ENST00000523073,ENST00000519780,ENST00000522090,ENST00000520061,ENST00000524121,ENST00000522030,ENST00000523423,ENST00000520414,ENST00000521229,ENST00000522576,ENST00000523180,ENST00000617782,ENST00000617977</t>
  </si>
  <si>
    <t>ENSP00000428318,ENSP00000395204,ENSP00000335416,ENSP00000428688,ENSP00000431018,ENSP00000429026,ENSP00000429667,ENSP00000430542,ENSP00000428236,ENSP00000430838,ENSP00000429175,ENSP00000429758,ENSP00000429210,ENSP00000431047,ENSP00000427939,ENSP00000478242,ENSP00000481143</t>
  </si>
  <si>
    <t>ENST00000263095,ENST00000594126,ENST00000600531,ENST00000597447,ENST00000599653,ENST00000536056</t>
  </si>
  <si>
    <t>ENSP00000263095,ENSP00000469130,ENSP00000470759,ENSP00000470587,ENSP00000471630,ENSP00000440376</t>
  </si>
  <si>
    <t>NM_001160227,NM_025137</t>
  </si>
  <si>
    <t>NP_001153699.1,NP_079413.3</t>
  </si>
  <si>
    <t>ENST00000261866,ENST00000559511,ENST00000535302,ENST00000427534,ENST00000560299,ENST00000558138,ENST00000559347,ENST00000561268,ENST00000559933,ENST00000558319,ENST00000558080,ENST00000559822,ENST00000558790,ENST00000558253,ENST00000560858,ENST00000558155,ENST00000561391,ENST00000558561,ENST00000558093,ENST00000558988,ENST00000559754,ENST00000560435,ENST00000558989,ENST00000559193,ENST00000557866</t>
  </si>
  <si>
    <t>ENSP00000261866,ENSP00000453246,ENSP00000445278,ENSP00000396110,ENSP00000453314,ENSP00000453599,ENSP00000452744,ENSP00000452991,ENSP00000453238,ENSP00000453921,ENSP00000453490,ENSP00000452629,ENSP00000453848,ENSP00000453227</t>
  </si>
  <si>
    <t>ENST00000376065,ENST00000376052,ENST00000490010,ENST00000496126,ENST00000493770,ENST00000490420,ENST00000466153,ENST00000482393</t>
  </si>
  <si>
    <t>ENSP00000365233,ENSP00000365220</t>
  </si>
  <si>
    <t>NM_001244134,NM_005204</t>
  </si>
  <si>
    <t>NP_001231063.1,NP_005195.2</t>
  </si>
  <si>
    <t>ENST00000263056,ENST00000415139,ENST00000375322,ENST00000413724,ENST00000375321,ENST00000430603,ENST00000542547</t>
  </si>
  <si>
    <t>ENSP00000263056,ENSP00000409653,ENSP00000364471,ENSP00000391275,ENSP00000364470,ENSP00000443610</t>
  </si>
  <si>
    <t>ENST00000331710,ENST00000538890,ENST00000540417,ENST00000539810,ENST00000545025,ENST00000536906,ENST00000541805,ENST00000545392</t>
  </si>
  <si>
    <t>ENSP00000329967,ENSP00000445834,ENSP00000445628,ENSP00000444428</t>
  </si>
  <si>
    <t>NM_001204517,NM_001204516,NM_001204514,NM_014970</t>
  </si>
  <si>
    <t>NP_001191446.1,NP_001191445.1,NP_001191443.1,NP_055785.2</t>
  </si>
  <si>
    <t>ENST00000361580,ENST00000367765,ENST00000367767,ENST00000474292,ENST00000490550,ENST00000538366</t>
  </si>
  <si>
    <t>ENSP00000354560,ENSP00000356739,ENSP00000356741,ENSP00000444622</t>
  </si>
  <si>
    <t>NM_022103,NR_030740</t>
  </si>
  <si>
    <t>NP_071386.3,-</t>
  </si>
  <si>
    <t>ENST00000591790,ENST00000504904,ENST00000292069,ENST00000592189,ENST00000587555,ENST00000589946,ENST00000589652,ENST00000629654</t>
  </si>
  <si>
    <t>ENSP00000468550,ENSP00000439402,ENSP00000292069,ENSP00000467627,ENSP00000468466,ENSP00000464708,ENSP00000486473</t>
  </si>
  <si>
    <t>ENST00000471841,ENST00000357390,ENST00000467174,ENST00000263969,ENST00000489329,ENST00000474903,ENST00000466287,ENST00000482661,ENST00000480636</t>
  </si>
  <si>
    <t>ENSP00000420617,ENSP00000349963,ENSP00000419134,ENSP00000263969,ENSP00000420148,ENSP00000419926</t>
  </si>
  <si>
    <t>NM_001199649,NM_153831,NM_005607</t>
  </si>
  <si>
    <t>NP_001186578.1,NP_722560.1,NP_005598.3</t>
  </si>
  <si>
    <t>ENST00000522684,ENST00000519654,ENST00000519465,ENST00000517887,ENST00000521059,ENST00000517712,ENST00000523539,ENST00000340930,ENST00000519993,ENST00000519419,ENST00000524202,ENST00000430260,ENST00000521986,ENST00000523435,ENST00000522950,ENST00000523805,ENST00000520460,ENST00000521985,ENST00000518173,ENST00000522424,ENST00000521562,ENST00000521250,ENST00000523388,ENST00000521981,ENST00000521029,ENST00000518509,ENST00000520917,ENST00000520151,ENST00000523670,ENST00000519024,ENST00000523746,ENST00000510126,ENST00000523474,ENST00000519899,ENST00000519361,ENST00000520843,ENST00000521172,ENST00000524357,ENST00000521791,ENST00000523067,ENST00000520828,ENST00000520475,ENST00000519881,ENST00000520892,ENST00000523803,ENST00000521907,ENST00000517453,ENST00000520045,ENST00000521395,ENST00000523675,ENST00000521332,ENST00000524040,ENST00000523679,ENST00000524257,ENST00000523797,ENST00000519635,ENST00000395218</t>
  </si>
  <si>
    <t>ENSP00000429911,ENSP00000429929,ENSP00000429170,ENSP00000429082,ENSP00000429474,ENSP00000430916,ENSP00000428492,ENSP00000341189,ENSP00000428570,ENSP00000429129,ENSP00000429023,ENSP00000403416,ENSP00000430603,ENSP00000430828,ENSP00000429437,ENSP00000427774,ENSP00000431106,ENSP00000427972,ENSP00000429702,ENSP00000428593,ENSP00000429958,ENSP00000428482,ENSP00000428380,ENSP00000428232,ENSP00000429001,ENSP00000427825,ENSP00000429895,ENSP00000427762,ENSP00000428792,ENSP00000430277,ENSP00000427904,ENSP00000429530,ENSP00000427795,ENSP00000430951,ENSP00000430044,ENSP00000429907,ENSP00000429409,ENSP00000430037,ENSP00000429028,ENSP00000431023,ENSP00000378644</t>
  </si>
  <si>
    <t>ENST00000405303,ENST00000503858,ENST00000505603,ENST00000513782,ENST00000508886,ENST00000507728,ENST00000488714,ENST00000507425,ENST00000504281,ENST00000508888,ENST00000513359,ENST00000510868,ENST00000505152,ENST00000511866,ENST00000513833,ENST00000505317,ENST00000511156</t>
  </si>
  <si>
    <t>ENSP00000385347,ENSP00000422652,ENSP00000423359,ENSP00000422752</t>
  </si>
  <si>
    <t>NM_001164388,NM_001164387,NM_001164386,NM_016340</t>
  </si>
  <si>
    <t>NP_001157860.1,NP_001157859.1,NP_001157858.1,NP_057424.3</t>
  </si>
  <si>
    <t>ENST00000509018,ENST00000512611,ENST00000507093,ENST00000296859,ENST00000627212,ENST00000512052,ENST00000308008,ENST00000515170,ENST00000510071,ENST00000504919,ENST00000514179,ENST00000513227,ENST00000504575,ENST00000504039,ENST00000503398,ENST00000307984</t>
  </si>
  <si>
    <t>ENSP00000421684,ENSP00000426081,ENSP00000296859,ENSP00000487439,ENSP00000426910,ENSP00000311419,ENSP00000425772,ENSP00000425389,ENSP00000424574,ENSP00000425891,ENSP00000427102,ENSP00000309298</t>
  </si>
  <si>
    <t>NM_001164232,NM_015214</t>
  </si>
  <si>
    <t>NP_001157704.1,NP_056029.2</t>
  </si>
  <si>
    <t>ENST00000527834,ENST00000397166,ENST00000533100,ENST00000519857,ENST00000526237,ENST00000526370,ENST00000528358,ENST00000529642,ENST00000532222,ENST00000520272,ENST00000527415,ENST00000532106,ENST00000528888,ENST00000531344,ENST00000528504,ENST00000517385,ENST00000529845,ENST00000520176,ENST00000528148,ENST00000526144,ENST00000524545,ENST00000528613,ENST00000526071,ENST00000529872</t>
  </si>
  <si>
    <t>ENSP00000432433,ENSP00000380352,ENSP00000432678,ENSP00000436994,ENSP00000433118,ENSP00000436444,ENSP00000433578,ENSP00000429932,ENSP00000432024,ENSP00000437097,ENSP00000429017,ENSP00000431638,ENSP00000437029,ENSP00000435040</t>
  </si>
  <si>
    <t>ENST00000281928,ENST00000552023,ENST00000548784,ENST00000552447,ENST00000548694,ENST00000552340,ENST00000549786,ENST00000549755,ENST00000551197,ENST00000548743</t>
  </si>
  <si>
    <t>ENSP00000281928,ENSP00000449895,ENSP00000449876,ENSP00000446782,ENSP00000448553</t>
  </si>
  <si>
    <t>NM_001130067,NM_015271</t>
  </si>
  <si>
    <t>NP_001123539.1,NP_056086.2</t>
  </si>
  <si>
    <t>ENST00000491446,ENST00000441616,ENST00000437508,ENST00000496978,ENST00000479711,ENST00000494872,ENST00000338700,ENST00000632856,ENST00000502281,ENST00000482578,ENST00000433687,ENST00000460908</t>
  </si>
  <si>
    <t>ENSP00000400879,ENSP00000415812,ENSP00000488229,ENSP00000339659,ENSP00000487836,ENSP00000488602,ENSP00000487750,ENSP00000400375,ENSP00000488751</t>
  </si>
  <si>
    <t>ENST00000223145,ENST00000414914,ENST00000430798,ENST00000492797,ENST00000460897,ENST00000470583,ENST00000474269,ENST00000489405,ENST00000438949,ENST00000496617,ENST00000482540,ENST00000491947</t>
  </si>
  <si>
    <t>ENSP00000223145,ENSP00000406569,ENSP00000396171,ENSP00000393942</t>
  </si>
  <si>
    <t>Homo sapiens MGA, MAX dimerization protein (MGA)</t>
  </si>
  <si>
    <t>NM_001164273,NM_001080541</t>
  </si>
  <si>
    <t>NP_001157745.1,NP_001074010.2</t>
  </si>
  <si>
    <t>ENST00000568630,ENST00000563576,ENST00000566718,ENST00000566586,ENST00000570161,ENST00000561532,ENST00000564190,ENST00000566288,ENST00000568255,ENST00000219905,ENST00000545763,ENST00000619521</t>
  </si>
  <si>
    <t>ENSP00000457151,ENSP00000455155,ENSP00000456141,ENSP00000457035,ENSP00000457250,ENSP00000457474,ENSP00000219905,ENSP00000442467,ENSP00000483990</t>
  </si>
  <si>
    <t>NM_018569,NM_001128426</t>
  </si>
  <si>
    <t>NP_061039.3,NP_001121898.1</t>
  </si>
  <si>
    <t>ENST00000274000,ENST00000510527,ENST00000502954,ENST00000309703,ENST00000506522,ENST00000512741</t>
  </si>
  <si>
    <t>ENSP00000274000,ENSP00000309023,ENSP00000422529</t>
  </si>
  <si>
    <t>NM_020468,NM_153816</t>
  </si>
  <si>
    <t>NP_065201.1,NP_722523.1</t>
  </si>
  <si>
    <t>ENST00000346348,ENST00000314673,ENST00000513865,ENST00000474645,ENST00000505648,ENST00000508980,ENST00000369627,ENST00000503491,ENST00000508658,ENST00000515216,ENST00000418862,ENST00000369635,ENST00000503608,ENST00000506182,ENST00000514801,ENST00000504191,ENST00000509338,ENST00000514419,ENST00000513869</t>
  </si>
  <si>
    <t>ENSP00000257769,ENSP00000313121,ENSP00000420938,ENSP00000427380,ENSP00000358641,ENSP00000422814,ENSP00000425630,ENSP00000391981,ENSP00000358649,ENSP00000424302,ENSP00000425387,ENSP00000426806</t>
  </si>
  <si>
    <t>ENST00000316485,ENST00000459752,ENST00000484562,ENST00000371158,ENST00000484937,ENST00000488913,ENST00000493967,ENST00000494842,ENST00000490547,ENST00000307297,ENST00000465798,ENST00000472512,ENST00000613764</t>
  </si>
  <si>
    <t>ENSP00000326199,ENSP00000360200,ENSP00000433669,ENSP00000307496,ENSP00000479041</t>
  </si>
  <si>
    <t>ENST00000315368,ENST00000510092,ENST00000505080,ENST00000505991,ENST00000507809,ENST00000507925,ENST00000503805,ENST00000505842,ENST00000504256,ENST00000515848,ENST00000506973</t>
  </si>
  <si>
    <t>ENSP00000318775,ENSP00000426654,ENSP00000426512,ENSP00000421840</t>
  </si>
  <si>
    <t>NM_001207051,NM_001142274,NM_001142273,NM_015282</t>
  </si>
  <si>
    <t>NP_001193980.1,NP_001135746.1,NP_001135745.1,NP_056097.1</t>
  </si>
  <si>
    <t>ENST00000409078,ENST00000452274,ENST00000472776,ENST00000463621,ENST00000430234,ENST00000491646,ENST00000418989,ENST00000449975,ENST00000474065,ENST00000480007,ENST00000485112,ENST00000455322,ENST00000541377,ENST00000397587,ENST00000263710</t>
  </si>
  <si>
    <t>ENSP00000386442,ENSP00000400562,ENSP00000392886,ENSP00000402101,ENSP00000389372,ENSP00000441625,ENSP00000380717,ENSP00000263710</t>
  </si>
  <si>
    <t>Homo sapiens ATPase, class V, type 10D (ATP10D)</t>
  </si>
  <si>
    <t>ENST00000273859,ENST00000507889,ENST00000504445,ENST00000503288,ENST00000505476,ENST00000512393,ENST00000505277</t>
  </si>
  <si>
    <t>ENSP00000273859,ENSP00000420909,ENSP00000421536</t>
  </si>
  <si>
    <t>NM_001128921,NM_001128920,NM_001128919,NM_001128918,NM_002376</t>
  </si>
  <si>
    <t>NP_001122393.2,NP_001122392.2,NP_001122391.2,NP_001122390.2,NP_002367.5</t>
  </si>
  <si>
    <t>ENST00000440884,ENST00000559328,ENST00000560603,ENST00000416682,ENST00000429436,ENST00000303622,ENST00000216288,ENST00000553942,ENST00000560417,ENST00000558223,ENST00000335102,ENST00000561225,ENST00000561071,ENST00000558698,ENST00000560731,ENST00000559268,ENST00000561164,ENST00000554627,ENST00000558953,ENST00000558611,ENST00000559274,ENST00000561314,ENST00000556744,ENST00000556463,ENST00000558787,ENST00000555235</t>
  </si>
  <si>
    <t>ENSP00000402104,ENSP00000408092,ENSP00000411397,ENSP00000303698,ENSP00000216288,ENSP00000450772,ENSP00000454169,ENSP00000335347,ENSP00000452829,ENSP00000450460,ENSP00000452893,ENSP00000451623</t>
  </si>
  <si>
    <t>NM_207040,NM_207038,NM_207037,NM_207036,NM_003205</t>
  </si>
  <si>
    <t>NP_996923.1,NP_996921.1,NP_996920.1,NP_996919.1,NP_003196.1</t>
  </si>
  <si>
    <t>ENST00000438423,ENST00000267811,ENST00000558908,ENST00000559609,ENST00000560190,ENST00000333725,ENST00000557843,ENST00000557947,ENST00000561152,ENST00000569880,ENST00000561346,ENST00000559216,ENST00000560887,ENST00000561235,ENST00000560764,ENST00000543579,ENST00000537840,ENST00000343827,ENST00000560506,ENST00000559710,ENST00000559703,ENST00000561420,ENST00000558210,ENST00000561449,ENST00000561454,ENST00000560191,ENST00000560836,ENST00000560948</t>
  </si>
  <si>
    <t>ENSP00000388940,ENSP00000267811,ENSP00000453876,ENSP00000331057,ENSP00000453737,ENSP00000454109,ENSP00000453653,ENSP00000440017,ENSP00000444696,ENSP00000342459,ENSP00000453264,ENSP00000454102,ENSP00000454823,ENSP00000456280</t>
  </si>
  <si>
    <t>ENST00000399820,ENST00000503697,ENST00000511729,ENST00000509560,ENST00000512112,ENST00000505055,ENST00000506869,ENST00000502389,ENST00000506503,ENST00000512448,ENST00000512095,ENST00000507228,ENST00000515631,ENST00000502718,ENST00000512534,ENST00000512588,ENST00000503733,ENST00000510315</t>
  </si>
  <si>
    <t>ENSP00000382717,ENSP00000423706,ENSP00000426918,ENSP00000421888,ENSP00000425949,ENSP00000424319,ENSP00000423491,ENSP00000421401</t>
  </si>
  <si>
    <t>ENST00000579534,ENST00000406285,ENST00000577612,ENST00000579434,ENST00000583136,ENST00000577971,ENST00000217800,ENST00000580880,ENST00000580905,ENST00000581950,ENST00000585023,ENST00000579823,ENST00000577361,ENST00000583576,ENST00000582366,ENST00000577727</t>
  </si>
  <si>
    <t>ENSP00000462664,ENSP00000385196,ENSP00000464025,ENSP00000462681,ENSP00000463071,ENSP00000217800,ENSP00000461983,ENSP00000462146,ENSP00000463971,ENSP00000463065</t>
  </si>
  <si>
    <t>NM_001184819,NM_019067</t>
  </si>
  <si>
    <t>NP_001171748.1,NP_061940.1</t>
  </si>
  <si>
    <t>ENST00000336470,ENST00000360845,ENST00000489691</t>
  </si>
  <si>
    <t>ENSP00000338573,ENSP00000354091</t>
  </si>
  <si>
    <t>ENST00000582081,ENST00000578386,ENST00000262435,ENST00000585301,ENST00000580072,ENST00000578200,ENST00000580246</t>
  </si>
  <si>
    <t>ENSP00000463531,ENSP00000464432,ENSP00000262435,ENSP00000463804</t>
  </si>
  <si>
    <t>ENST00000430069,ENST00000474363,ENST00000631253,ENST00000457928,ENST00000626758,ENST00000428970,ENST00000424913,ENST00000437738,ENST00000352800,ENST00000431421,ENST00000630796,ENST00000450267,ENST00000626672,ENST00000630833,ENST00000431674,ENST00000422066,ENST00000443315,ENST00000627825,ENST00000422442,ENST00000427349,ENST00000413084,ENST00000491623</t>
  </si>
  <si>
    <t>ENSP00000405574,ENSP00000486324,ENSP00000413251,ENSP00000486622,ENSP00000391559,ENSP00000404863,ENSP00000392180,ENSP00000263964,ENSP00000402402,ENSP00000486235,ENSP00000406297,ENSP00000486866,ENSP00000486082,ENSP00000397450,ENSP00000398477,ENSP00000396120,ENSP00000387849,ENSP00000401044,ENSP00000415506</t>
  </si>
  <si>
    <t>NM_001202543,NM_181552</t>
  </si>
  <si>
    <t>NP_001189472.1,NP_853530.2</t>
  </si>
  <si>
    <t>ENST00000622516,ENST00000497815,ENST00000292538,ENST00000607092,ENST00000393824,ENST00000547394,ENST00000360264,ENST00000425244,ENST00000292535,ENST00000549414,ENST00000550008,ENST00000546411,ENST00000556210,ENST00000558469,ENST00000560541,ENST00000558836,ENST00000606749,ENST00000465461,ENST00000485792,ENST00000487284,ENST00000437600</t>
  </si>
  <si>
    <t>ENSP00000484760,ENSP00000292538,ENSP00000377410,ENSP00000449371,ENSP00000353401,ENSP00000409745,ENSP00000292535,ENSP00000446630,ENSP00000447373,ENSP00000450125,ENSP00000451558,ENSP00000414091</t>
  </si>
  <si>
    <t>ENST00000375859,ENST00000485804,ENST00000469017,ENST00000462844,ENST00000485565,ENST00000483785</t>
  </si>
  <si>
    <t>NM_001267047,NM_001267046,NM_001042481,NM_152330</t>
  </si>
  <si>
    <t>NP_001253976.1,NP_001253975.1,NP_001035946.1,NP_689543.1</t>
  </si>
  <si>
    <t>ENST00000553556,ENST00000555703,ENST00000557522,ENST00000555197,ENST00000557183,ENST00000554495,ENST00000557405,ENST00000554167,ENST00000555936,ENST00000554778,ENST00000344768,ENST00000395718,ENST00000554745,ENST00000557001,ENST00000557103,ENST00000555952,ENST00000356218,ENST00000556137</t>
  </si>
  <si>
    <t>ENSP00000452529,ENSP00000450735,ENSP00000451157,ENSP00000450667,ENSP00000451977,ENSP00000451453,ENSP00000452122,ENSP00000343899,ENSP00000379068,ENSP00000348550</t>
  </si>
  <si>
    <t>NM_001199388,NM_001135555,NM_001135554,NM_001431,NM_001252660</t>
  </si>
  <si>
    <t>NP_001186317.1,NP_001129027.1,NP_001129026.1,NP_001422.1,NP_001239589.1</t>
  </si>
  <si>
    <t>ENST00000452150,ENST00000531410,ENST00000528282,ENST00000530481,ENST00000445890,ENST00000337057,ENST00000530757,ENST00000392427,ENST00000368128,ENST00000527411,ENST00000524581,ENST00000525271,ENST00000526782,ENST00000368126,ENST00000525193,ENST00000527659,ENST00000529208,ENST00000527017,ENST00000527423,ENST00000456097,ENST00000533912,ENST00000525198,ENST00000534166,ENST00000530148,ENST00000528179,ENST00000526333,ENST00000529709,ENST00000532499,ENST00000526983,ENST00000531356,ENST00000530707,ENST00000610431,ENST00000628542</t>
  </si>
  <si>
    <t>ENSP00000434596,ENSP00000434308,ENSP00000434576,ENSP00000402041,ENSP00000338481,ENSP00000436349,ENSP00000376222,ENSP00000357110,ENSP00000436348,ENSP00000437207,ENSP00000432803,ENSP00000431988,ENSP00000431647,ENSP00000436641,ENSP00000432949,ENSP00000437295,ENSP00000397580,ENSP00000434998,ENSP00000436871,ENSP00000432013,ENSP00000432329,ENSP00000436145,ENSP00000435556,ENSP00000477544,ENSP00000486691</t>
  </si>
  <si>
    <t>NM_001258281,NM_000251</t>
  </si>
  <si>
    <t>NP_001245210.1,NP_000242.1</t>
  </si>
  <si>
    <t>ENST00000233146,ENST00000454849,ENST00000406134,ENST00000461394,ENST00000467323,ENST00000543555,ENST00000610696,ENST00000617938,ENST00000617333,ENST00000613514,ENST00000621359</t>
  </si>
  <si>
    <t>ENSP00000233146,ENSP00000411482,ENSP00000384199,ENSP00000442697,ENSP00000483159,ENSP00000481158,ENSP00000482468,ENSP00000484137,ENSP00000481416</t>
  </si>
  <si>
    <t>ENST00000299608,ENST00000578816,ENST00000564631,ENST00000566135,ENST00000578765,ENST00000566887,ENST00000569053,ENST00000443099,ENST00000562706,ENST00000564008,ENST00000565918,ENST00000580785,ENST00000569982,ENST00000544714</t>
  </si>
  <si>
    <t>ENSP00000299608,ENSP00000456587,ENSP00000458132,ENSP00000402605,ENSP00000457262,ENSP00000456453,ENSP00000455234,ENSP00000457074</t>
  </si>
  <si>
    <t>NM_001190442,NM_001042440,NM_173060</t>
  </si>
  <si>
    <t>NP_001177371.1,NP_001035905.1,NP_775083.1</t>
  </si>
  <si>
    <t>ENST00000509602,ENST00000505143,ENST00000338252,ENST00000508830,ENST00000511097,ENST00000395812,ENST00000515160,ENST00000507487,ENST00000421689,ENST00000510756,ENST00000507836,ENST00000512620,ENST00000514845,ENST00000510245,ENST00000506811,ENST00000514055,ENST00000508608,ENST00000341926,ENST00000505402,ENST00000511049,ENST00000309190,ENST00000510156,ENST00000508117,ENST00000504221,ENST00000509903,ENST00000511782,ENST00000504465,ENST00000513666,ENST00000508197,ENST00000348386,ENST00000504532,ENST00000515063,ENST00000510500,ENST00000437034,ENST00000508579,ENST00000509259,ENST00000503828,ENST00000515663,ENST00000484552,ENST00000512191,ENST00000510098,ENST00000509529,ENST00000325674,ENST00000395813</t>
  </si>
  <si>
    <t>ENSP00000422957,ENSP00000343421,ENSP00000425721,ENSP00000422951,ENSP00000379157,ENSP00000396558,ENSP00000422176,ENSP00000426422,ENSP00000422612,ENSP00000427092,ENSP00000421230,ENSP00000422677,ENSP00000339914,ENSP00000421130,ENSP00000312523,ENSP00000422325,ENSP00000422466,ENSP00000426946,ENSP00000423638,ENSP00000425670,ENSP00000422831,ENSP00000424160,ENSP00000412374,ENSP00000425787,ENSP00000423846,ENSP00000422807,ENSP00000422929,ENSP00000432878,ENSP00000427195,ENSP00000320319,ENSP00000379158</t>
  </si>
  <si>
    <t>ENST00000339865,ENST00000525257,ENST00000527733,ENST00000399455,ENST00000525367,ENST00000525078,ENST00000531513,ENST00000530041,ENST00000530369,ENST00000305481,ENST00000529813</t>
  </si>
  <si>
    <t>ENSP00000339957,ENSP00000433146,ENSP00000382382</t>
  </si>
  <si>
    <t>NM_002589,NM_032456</t>
  </si>
  <si>
    <t>NP_002580.2,NP_115832.1</t>
  </si>
  <si>
    <t>ENST00000361762,ENST00000543491,ENST00000511884,ENST00000507864,ENST00000621961,ENST00000509759,ENST00000509925,ENST00000610830</t>
  </si>
  <si>
    <t>ENSP00000355243,ENSP00000441802,ENSP00000427066,ENSP00000484874,ENSP00000483285</t>
  </si>
  <si>
    <t>ENST00000320934,ENST00000534529,ENST00000529458,ENST00000527037,ENST00000527861,ENST00000532810,ENST00000531573,ENST00000533135,ENST00000528973,ENST00000528217,ENST00000525027,ENST00000524507,ENST00000532301,ENST00000530269,ENST00000540028</t>
  </si>
  <si>
    <t>ENSP00000325917,ENSP00000431181,ENSP00000433841,ENSP00000436459,ENSP00000433252,ENSP00000441944</t>
  </si>
  <si>
    <t>ENST00000356840,ENST00000349606</t>
  </si>
  <si>
    <t>ENSP00000349298,ENSP00000008686</t>
  </si>
  <si>
    <t>NM_033157,NM_033140,NM_033139,NM_033138,NM_004342</t>
  </si>
  <si>
    <t>NP_149347.2,NP_149131.1,NP_149130.1,NP_149129.2,NP_004333.1</t>
  </si>
  <si>
    <t>ENST00000417172,ENST00000436461,ENST00000422748,ENST00000454108,ENST00000475772,ENST00000430085,ENST00000462181,ENST00000482470,ENST00000361675,ENST00000361901,ENST00000498254,ENST00000489019,ENST00000445569,ENST00000435928,ENST00000443197,ENST00000424922,ENST00000495522,ENST00000496024,ENST00000478075,ENST00000472096,ENST00000466704,ENST00000473714,ENST00000480638,ENST00000393118</t>
  </si>
  <si>
    <t>ENSP00000398826,ENSP00000411476,ENSP00000395710,ENSP00000401988,ENSP00000394715,ENSP00000354826,ENSP00000354513,ENSP00000390926,ENSP00000416611,ENSP00000407522,ENSP00000393621,ENSP00000419673,ENSP00000376826</t>
  </si>
  <si>
    <t>ENST00000490444,ENST00000397885,ENST00000382032,ENST00000469168</t>
  </si>
  <si>
    <t>ENSP00000474467,ENSP00000380982</t>
  </si>
  <si>
    <t>NM_001203249,NM_001203248,NM_001203247,NM_004456,NM_152998</t>
  </si>
  <si>
    <t>NP_001190178.1,NP_001190177.1,NP_001190176.1,NP_004447.2,NP_694543.1</t>
  </si>
  <si>
    <t>ENST00000492143,ENST00000478654,ENST00000460911,ENST00000350995,ENST00000320356,ENST00000476773,ENST00000483967,ENST00000469631,ENST00000498186,ENST00000483012</t>
  </si>
  <si>
    <t>ENSP00000417377,ENSP00000417062,ENSP00000419711,ENSP00000223193,ENSP00000320147,ENSP00000419050,ENSP00000419856,ENSP00000417704</t>
  </si>
  <si>
    <t>Homo sapiens protein tyrosine phosphatase, receptor type, C (PTPRC)</t>
  </si>
  <si>
    <t>NM_080921,NM_002838</t>
  </si>
  <si>
    <t>NP_563578.2,NP_002829.3</t>
  </si>
  <si>
    <t>ENST00000367379,ENST00000530727,ENST00000442510,ENST00000462363,ENST00000367367,ENST00000348564,ENST00000367364,ENST00000413409,ENST00000529828,ENST00000418674,ENST00000427110,ENST00000391970,ENST00000484135,ENST00000491302</t>
  </si>
  <si>
    <t>ENSP00000356349,ENSP00000433536,ENSP00000411355,ENSP00000356337,ENSP00000306782,ENSP00000356334,ENSP00000405494,ENSP00000469141,ENSP00000393360</t>
  </si>
  <si>
    <t>NM_019595,NM_006277</t>
  </si>
  <si>
    <t>NP_062541.3,NP_006268.2</t>
  </si>
  <si>
    <t>ENST00000478720,ENST00000361999,ENST00000355123,ENST00000427234,ENST00000449392,ENST00000479575,ENST00000406921,ENST00000416160,ENST00000412011,ENST00000469848,ENST00000443927,ENST00000407704,ENST00000622089</t>
  </si>
  <si>
    <t>ENSP00000354561,ENSP00000347244,ENSP00000395682,ENSP00000411319,ENSP00000384499,ENSP00000389013,ENSP00000391224,ENSP00000391715,ENSP00000479408</t>
  </si>
  <si>
    <t>Homo sapiens laminin, alpha 2 (LAMA2)</t>
  </si>
  <si>
    <t>NM_001079823,NM_000426</t>
  </si>
  <si>
    <t>NP_001073291.1,NP_000417.2</t>
  </si>
  <si>
    <t>ENST00000421865,ENST00000466230,ENST00000498257,ENST00000494137,ENST00000618192,ENST00000617695</t>
  </si>
  <si>
    <t>ENSP00000400365,ENSP00000480802,ENSP00000481744</t>
  </si>
  <si>
    <t>Homo sapiens topoisomerase I binding, arginine/serine-rich, E3 ubiquitin protein ligase (TOPORS)</t>
  </si>
  <si>
    <t>NM_001195622,NM_005802</t>
  </si>
  <si>
    <t>NP_001182551.1,NP_005793.2</t>
  </si>
  <si>
    <t>ENST00000360538,ENST00000379858</t>
  </si>
  <si>
    <t>ENSP00000353735,ENSP00000369187</t>
  </si>
  <si>
    <t>NM_001252512,NM_001252511,NM_003101,NR_045530</t>
  </si>
  <si>
    <t>NP_001239441.1,NP_001239440.1,NP_003092.4,-</t>
  </si>
  <si>
    <t>ENST00000367619,ENST00000426956,ENST00000540564,ENST00000539888</t>
  </si>
  <si>
    <t>ENSP00000356591,ENSP00000411309,ENSP00000445315,ENSP00000441356</t>
  </si>
  <si>
    <t>Homo sapiens transforming growth factor, beta receptor associated protein 1 (TGFBRAP1)</t>
  </si>
  <si>
    <t>NM_001142621,NM_004257</t>
  </si>
  <si>
    <t>NP_001136093.1,NP_004248.2</t>
  </si>
  <si>
    <t>ENST00000393359,ENST00000595531,ENST00000258449</t>
  </si>
  <si>
    <t>ENSP00000377027,ENSP00000471434,ENSP00000258449</t>
  </si>
  <si>
    <t>ENST00000277165,ENST00000375389,ENST00000446420,ENST00000475933,ENST00000427765</t>
  </si>
  <si>
    <t>ENSP00000277165,ENSP00000364538,ENSP00000396534,ENSP00000412440</t>
  </si>
  <si>
    <t>NM_001271685,NM_001271684,NM_012243</t>
  </si>
  <si>
    <t>NP_001258614.1,NP_001258613.1,NP_036375.1</t>
  </si>
  <si>
    <t>ENST00000370155,ENST00000465289,ENST00000427993,ENST00000533028,ENST00000532693,ENST00000422078,ENST00000370156,ENST00000370153</t>
  </si>
  <si>
    <t>ENSP00000359174,ENSP00000418527,ENSP00000414947,ENSP00000433849,ENSP00000436938,ENSP00000401679,ENSP00000359172</t>
  </si>
  <si>
    <t>ENST00000237596,ENST00000506727,ENST00000506367,ENST00000508588,ENST00000511337,ENST00000512858,ENST00000502363</t>
  </si>
  <si>
    <t>ENSP00000237596,ENSP00000427131,ENSP00000425289</t>
  </si>
  <si>
    <t>ENST00000513146,ENST00000611618,ENST00000612671,ENST00000510796,ENST00000503005,ENST00000514805</t>
  </si>
  <si>
    <t>ENST00000370608,ENST00000463065,ENST00000530971,ENST00000284027,ENST00000531325,ENST00000531874</t>
  </si>
  <si>
    <t>ENSP00000359640,ENSP00000436299,ENSP00000284027</t>
  </si>
  <si>
    <t>NM_012425,NM_152724</t>
  </si>
  <si>
    <t>NP_036557.1,NP_689937.2</t>
  </si>
  <si>
    <t>ENST00000377921,ENST00000345264,ENST00000464074,ENST00000377911,ENST00000602389</t>
  </si>
  <si>
    <t>ENSP00000367154,ENSP00000339521,ENSP00000473588</t>
  </si>
  <si>
    <t>NM_014969,NM_001142551,NM_001142550</t>
  </si>
  <si>
    <t>NP_055784.3,NP_001136023.1,NP_001136022.1</t>
  </si>
  <si>
    <t>ENST00000400794,ENST00000369962,ENST00000361054,ENST00000369965,ENST00000530772,ENST00000529074,ENST00000531337,ENST00000528747,ENST00000357672</t>
  </si>
  <si>
    <t>ENSP00000383599,ENSP00000358979,ENSP00000354339,ENSP00000358982,ENSP00000434289,ENSP00000437171,ENSP00000434868,ENSP00000433452,ENSP00000350301</t>
  </si>
  <si>
    <t>ENST00000507392,ENST00000452510,ENST00000354283,ENST00000509255,ENST00000513987,ENST00000505592,ENST00000513592,ENST00000509178,ENST00000503946,ENST00000507053,ENST00000506332,ENST00000628477</t>
  </si>
  <si>
    <t>ENSP00000427290,ENSP00000416534,ENSP00000346236,ENSP00000426767,ENSP00000425073,ENSP00000487025</t>
  </si>
  <si>
    <t>ENST00000568004,ENST00000564884,ENST00000568954,ENST00000393524,ENST00000567016,ENST00000538126,ENST00000574977</t>
  </si>
  <si>
    <t>ENSP00000458660,ENSP00000456572,ENSP00000457991,ENSP00000377159,ENSP00000454519</t>
  </si>
  <si>
    <t>NM_001130527,NM_001251971,NM_001130528,NM_003971</t>
  </si>
  <si>
    <t>NP_001123999.1,NP_001238900.1,NP_001124000.1,NP_003962.3</t>
  </si>
  <si>
    <t>ENST00000262013,ENST00000509724,ENST00000510283,ENST00000505279,ENST00000357122,ENST00000506500,ENST00000513746,ENST00000511312,ENST00000513906,ENST00000514613,ENST00000505173,ENST00000514205,ENST00000506483,ENST00000513827,ENST00000515685,ENST00000513547,ENST00000511795,ENST00000576492,ENST00000510855,ENST00000511987,ENST00000502329,ENST00000618113</t>
  </si>
  <si>
    <t>ENSP00000262013,ENSP00000423165,ENSP00000426900,ENSP00000349636,ENSP00000423346,ENSP00000430205,ENSP00000429343,ENSP00000426061,ENSP00000484908</t>
  </si>
  <si>
    <t>ENST00000373036,ENST00000468190</t>
  </si>
  <si>
    <t>ENST00000527805,ENST00000527891,ENST00000532931,ENST00000530958,ENST00000452508,ENST00000526567,ENST00000601453,ENST00000525012,ENST00000533526,ENST00000419286,ENST00000533733,ENST00000524792,ENST00000531525,ENST00000531957,ENST00000533690,ENST00000534625,ENST00000529588,ENST00000532765,ENST00000525537,ENST00000527389,ENST00000533979,ENST00000525056,ENST00000525178,ENST00000527181,ENST00000278616</t>
  </si>
  <si>
    <t>ENSP00000435747,ENSP00000433955,ENSP00000432318,ENSP00000483338,ENSP00000388058,ENSP00000480205,ENSP00000469471,ENSP00000434327,ENSP00000435524,ENSP00000278616</t>
  </si>
  <si>
    <t>NM_018657,NM_001185119,NM_001185118,NR_033703,NR_033702</t>
  </si>
  <si>
    <t>NP_061127.1,NP_001172048.1,NP_001172047.1,-,-</t>
  </si>
  <si>
    <t>ENST00000349841,ENST00000602751,ENST00000356716,ENST00000602391,ENST00000544106</t>
  </si>
  <si>
    <t>ENSP00000326240,ENSP00000473654,ENSP00000349150,ENSP00000473335,ENSP00000440637</t>
  </si>
  <si>
    <t>ENST00000411912,ENST00000398571,ENST00000436269,ENST00000492604,ENST00000463046,ENST00000490552,ENST00000498268,ENST00000476716,ENST00000467128,ENST00000472689,ENST00000472706,ENST00000490527,ENST00000483672,ENST00000482250,ENST00000487547,ENST00000468703,ENST00000453734,ENST00000492882,ENST00000484179,ENST00000494867,ENST00000460004,ENST00000453133</t>
  </si>
  <si>
    <t>ENSP00000398960,ENSP00000381577,ENSP00000398489,ENSP00000410559,ENSP00000388129</t>
  </si>
  <si>
    <t>NM_016823,NM_005206</t>
  </si>
  <si>
    <t>NP_058431.2,NP_005197.3</t>
  </si>
  <si>
    <t>ENST00000398970,ENST00000300574,ENST00000574295,ENST00000572145</t>
  </si>
  <si>
    <t>ENSP00000381942,ENSP00000300574,ENSP00000459505</t>
  </si>
  <si>
    <t>ENST00000367178,ENST00000461219,ENST00000464628,ENST00000479234,ENST00000367186,ENST00000417268</t>
  </si>
  <si>
    <t>ENSP00000356146,ENSP00000356154,ENSP00000413098</t>
  </si>
  <si>
    <t>NM_001172478,NM_001172477,NM_015713</t>
  </si>
  <si>
    <t>NP_001165949.1,NP_001165948.1,NP_056528.2</t>
  </si>
  <si>
    <t>ENST00000251810,ENST00000522368,ENST00000395910,ENST00000519962,ENST00000519317,ENST00000395912,ENST00000522394,ENST00000519125,ENST00000523957,ENST00000517517,ENST00000621845</t>
  </si>
  <si>
    <t>ENSP00000251810,ENSP00000428115,ENSP00000429140,ENSP00000430641,ENSP00000379248,ENSP00000429578,ENSP00000427830,ENSP00000484318</t>
  </si>
  <si>
    <t>ENST00000545606,ENST00000541058,ENST00000539109,ENST00000539434,ENST00000540525,ENST00000535146,ENST00000540319,ENST00000544619</t>
  </si>
  <si>
    <t>ENSP00000442318,ENSP00000437594,ENSP00000445794,ENSP00000444089</t>
  </si>
  <si>
    <t>NM_001271650,NM_022461</t>
  </si>
  <si>
    <t>NP_001258579.1,NP_071906.1</t>
  </si>
  <si>
    <t>ENST00000429369,ENST00000479665,ENST00000295748,ENST00000476174,ENST00000492044,ENST00000463512,ENST00000334100,ENST00000488978,ENST00000470234,ENST00000420543,ENST00000457172,ENST00000414162,ENST00000462936,ENST00000415852</t>
  </si>
  <si>
    <t>ENSP00000403133,ENSP00000419371,ENSP00000335609,ENSP00000391696,ENSP00000389577,ENSP00000412820,ENSP00000416380</t>
  </si>
  <si>
    <t>NM_199436,NM_014946</t>
  </si>
  <si>
    <t>NP_955468.1,NP_055761.2</t>
  </si>
  <si>
    <t>ENST00000345662,ENST00000315285,ENST00000621856,ENST00000615843</t>
  </si>
  <si>
    <t>ENSP00000340817,ENSP00000320885,ENSP00000482496,ENSP00000480893</t>
  </si>
  <si>
    <t>NM_001134435,NM_032263</t>
  </si>
  <si>
    <t>NP_001127907.1,NP_115639.1</t>
  </si>
  <si>
    <t>ENST00000265239,ENST00000455191,ENST00000478903,ENST00000490748,ENST00000485787,ENST00000469822,ENST00000473225,ENST00000453254,ENST00000416896,ENST00000480302,ENST00000463651,ENST00000452735,ENST00000493624</t>
  </si>
  <si>
    <t>ENSP00000265239,ENSP00000407736,ENSP00000389897,ENSP00000406411,ENSP00000393743</t>
  </si>
  <si>
    <t>NM_001130147,NM_001130146,NM_032358,NM_001130148</t>
  </si>
  <si>
    <t>NP_001123619.1,NP_001123618.1,NP_115734.1,NP_001123620.1</t>
  </si>
  <si>
    <t>ENST00000537453,ENST00000540180,ENST00000535052,ENST00000543504,ENST00000540344,ENST00000239830,ENST00000412006,ENST00000535959,ENST00000538160,ENST00000540118,ENST00000537286,ENST00000422000</t>
  </si>
  <si>
    <t>ENSP00000440554,ENSP00000443209,ENSP00000445873,ENSP00000239830,ENSP00000412925,ENSP00000391870</t>
  </si>
  <si>
    <t>NM_001202406,NM_001202412,NM_001202411,NM_001202410,NM_001202409,NM_001202408,NM_001202407,NM_032497</t>
  </si>
  <si>
    <t>NP_001189335.1,NP_001189341.1,NP_001189340.1,NP_001189339.1,NP_001189338.1,NP_001189337.1,NP_001189336.1,NP_115886.1</t>
  </si>
  <si>
    <t>ENST00000587557,ENST00000592504,ENST00000585352,ENST00000317221,ENST00000586255,ENST00000592896,ENST00000605750,ENST00000589208,ENST00000592298,ENST00000585377,ENST00000393883,ENST00000588124,ENST00000591652,ENST00000603380</t>
  </si>
  <si>
    <t>ENSP00000468153,ENSP00000467841,ENSP00000467048,ENSP00000325393,ENSP00000465787,ENSP00000466496,ENSP00000474719,ENSP00000474260,ENSP00000468299,ENSP00000465526,ENSP00000377461,ENSP00000466325,ENSP00000466745,ENSP00000474760</t>
  </si>
  <si>
    <t>NM_001198837,NM_001198836,NM_006328</t>
  </si>
  <si>
    <t>NP_001185766.1,NP_001185765.1,NP_006319.1</t>
  </si>
  <si>
    <t>ENST00000310137,ENST00000393979,ENST00000512283,ENST00000409372,ENST00000443702,ENST00000409738,ENST00000460762,ENST00000461478,ENST00000496694</t>
  </si>
  <si>
    <t>ENSP00000311747,ENSP00000377548,ENSP00000386518,ENSP00000414650,ENSP00000386995</t>
  </si>
  <si>
    <t>NM_001145417,NM_018133</t>
  </si>
  <si>
    <t>NP_001138889.1,NP_060603.2</t>
  </si>
  <si>
    <t>ENST00000309993,ENST00000434835,ENST00000481989,ENST00000491050,ENST00000473093</t>
  </si>
  <si>
    <t>ENSP00000311827,ENSP00000387948,ENSP00000418752,ENSP00000417956,ENSP00000418655</t>
  </si>
  <si>
    <t>Homo sapiens inhibin, beta A (INHBA)</t>
  </si>
  <si>
    <t>ENST00000242208,ENST00000464515,ENST00000442711</t>
  </si>
  <si>
    <t>ENSP00000242208,ENSP00000397197</t>
  </si>
  <si>
    <t>NM_183381,NM_007282</t>
  </si>
  <si>
    <t>NP_899237.1,NP_009213.1</t>
  </si>
  <si>
    <t>ENST00000392894,ENST00000344229,ENST00000470151,ENST00000466478,ENST00000491086,ENST00000467977,ENST00000474348,ENST00000467996,ENST00000468648,ENST00000459632,ENST00000466795,ENST00000490631,ENST00000361785,ENST00000482083,ENST00000468289,ENST00000493238</t>
  </si>
  <si>
    <t>ENSP00000376628,ENSP00000341361,ENSP00000419836,ENSP00000419508,ENSP00000420667,ENSP00000418308,ENSP00000420124,ENSP00000419809,ENSP00000420067,ENSP00000419069,ENSP00000417655,ENSP00000417294,ENSP00000355268,ENSP00000418863,ENSP00000420510</t>
  </si>
  <si>
    <t>NM_001197080,NM_001550,NM_001007245,NM_001197079</t>
  </si>
  <si>
    <t>NP_001184009.1,NP_001541.2,NP_001007246.1,NP_001184008.1</t>
  </si>
  <si>
    <t>ENST00000432734,ENST00000005558,ENST00000443101,ENST00000445335,ENST00000417662,ENST00000403825,ENST00000429071,ENST00000476927,ENST00000440625,ENST00000466459,ENST00000486688,ENST00000421296,ENST00000489994,ENST00000470441,ENST00000462155,ENST00000621379,ENST00000535603</t>
  </si>
  <si>
    <t>ENSP00000391379,ENSP00000005558,ENSP00000397592,ENSP00000402453,ENSP00000413893,ENSP00000384477,ENSP00000397314,ENSP00000437250,ENSP00000402177,ENSP00000403203,ENSP00000435635,ENSP00000483255,ENSP00000439188</t>
  </si>
  <si>
    <t>Homo sapiens TDP-glucose 4,6-dehydratase (TGDS)</t>
  </si>
  <si>
    <t>ENST00000261296,ENST00000498294,ENST00000470480</t>
  </si>
  <si>
    <t>Homo sapiens family with sequence similarity 129, member A (FAM129A)</t>
  </si>
  <si>
    <t>ENST00000417056,ENST00000367511,ENST00000487074,ENST00000461167,ENST00000496299</t>
  </si>
  <si>
    <t>ENSP00000414039,ENSP00000356481</t>
  </si>
  <si>
    <t>Homo sapiens NLR family, apoptosis inhibitory protein (NAIP)</t>
  </si>
  <si>
    <t>NM_004536,NM_022892</t>
  </si>
  <si>
    <t>NP_004527.2,NP_075043.1</t>
  </si>
  <si>
    <t>ENST00000612328,ENST00000621666,ENST00000622005,ENST00000620988,ENST00000610590,ENST00000613897,ENST00000615640,ENST00000616067,ENST00000618877</t>
  </si>
  <si>
    <t>ENSP00000484107,ENSP00000485660,ENSP00000484731,ENSP00000483012,ENSP00000485362,ENSP00000479321,ENSP00000477938</t>
  </si>
  <si>
    <t>ENST00000304685,ENST00000360851</t>
  </si>
  <si>
    <t>ENSP00000303192,ENSP00000354097</t>
  </si>
  <si>
    <t>Homo sapiens protein tyrosine phosphatase, non-receptor type 11 (PTPN11)</t>
  </si>
  <si>
    <t>ENST00000531326,ENST00000392597,ENST00000351677,ENST00000530818</t>
  </si>
  <si>
    <t>ENSP00000376376,ENSP00000340944,ENSP00000437013</t>
  </si>
  <si>
    <t>Homo sapiens ribosomal protein S6 kinase, 70kDa, polypeptide 1 (RPS6KB1)</t>
  </si>
  <si>
    <t>NM_001272060,NM_001272044,NM_001272042,NM_003161</t>
  </si>
  <si>
    <t>NP_001258989.1,NP_001258973.1,NP_001258971.1,NP_003152.1</t>
  </si>
  <si>
    <t>ENST00000472940,ENST00000477179,ENST00000443572,ENST00000489824,ENST00000406116,ENST00000225577,ENST00000592726,ENST00000587622,ENST00000590928,ENST00000475155,ENST00000587061,ENST00000393021</t>
  </si>
  <si>
    <t>ENSP00000468058,ENSP00000441993,ENSP00000466562,ENSP00000384335,ENSP00000225577,ENSP00000464805,ENSP00000376744</t>
  </si>
  <si>
    <t>Homo sapiens AF4/FMR2 family, member 1 (AFF1)</t>
  </si>
  <si>
    <t>NM_001166693,NM_005935</t>
  </si>
  <si>
    <t>NP_001160165.1,NP_005926.1</t>
  </si>
  <si>
    <t>ENST00000504956,ENST00000507468,ENST00000503477,ENST00000511996,ENST00000511442,ENST00000307808,ENST00000511722,ENST00000514970,ENST00000503369,ENST00000395146,ENST00000544085</t>
  </si>
  <si>
    <t>ENSP00000427593,ENSP00000424483,ENSP00000425755,ENSP00000305689,ENSP00000424766,ENSP00000424881,ENSP00000378578,ENSP00000440843</t>
  </si>
  <si>
    <t>ENST00000260803,ENST00000460271,ENST00000477557,ENST00000463982</t>
  </si>
  <si>
    <t>ENSP00000260803,ENSP00000417262</t>
  </si>
  <si>
    <t>ENST00000306247,ENST00000575695,ENST00000570846,ENST00000308807,ENST00000576529,ENST00000571303,ENST00000573267,ENST00000575686</t>
  </si>
  <si>
    <t>ENSP00000303118,ENSP00000308351,ENSP00000459935,ENSP00000461110,ENSP00000459920,ENSP00000461666</t>
  </si>
  <si>
    <t>NM_001145258,NM_001145257,NM_001145256,NM_016123,NM_001114182</t>
  </si>
  <si>
    <t>NP_001138730.1,NP_001138729.1,NP_001138728.1,NP_057207.2,NP_001107654.1</t>
  </si>
  <si>
    <t>ENST00000440781,ENST00000550616,ENST00000550615,ENST00000547521,ENST00000613694,ENST00000551736,ENST00000550386,ENST00000547101,ENST00000546780,ENST00000552309,ENST00000550361,ENST00000547928,ENST00000431837,ENST00000448290</t>
  </si>
  <si>
    <t>ENSP00000408734,ENSP00000446571,ENSP00000449553,ENSP00000449693,ENSP00000479889,ENSP00000446490,ENSP00000449848,ENSP00000449317,ENSP00000448197,ENSP00000449859,ENSP00000390327,ENSP00000390651</t>
  </si>
  <si>
    <t>NM_138347,NM_001270938,NR_073102</t>
  </si>
  <si>
    <t>NP_612356.2,NP_001257867.1,-</t>
  </si>
  <si>
    <t>ENST00000601064,ENST00000282296,ENST00000599402,ENST00000596085</t>
  </si>
  <si>
    <t>ENSP00000472674,ENSP00000282296,ENSP00000472230</t>
  </si>
  <si>
    <t>Homo sapiens integrin, beta 1 (fibronectin receptor, beta polypeptide, antigen CD29 includes MDF2, MSK12)</t>
  </si>
  <si>
    <t>NM_002211,NM_133376,NM_033668</t>
  </si>
  <si>
    <t>NP_002202.2,NP_596867.1,NP_391988.1</t>
  </si>
  <si>
    <t>ENST00000302278,ENST00000488427,ENST00000494395,ENST00000484088,ENST00000480226,ENST00000474568,ENST00000488494,ENST00000534049,ENST00000437302,ENST00000475184,ENST00000528877,ENST00000417122,ENST00000464001,ENST00000493758,ENST00000472147,ENST00000414670,ENST00000439974,ENST00000396033,ENST00000423113</t>
  </si>
  <si>
    <t>ENSP00000303351,ENSP00000417508,ENSP00000417799,ENSP00000417537,ENSP00000420282,ENSP00000418725,ENSP00000431326,ENSP00000398029,ENSP00000417243,ENSP00000436214,ENSP00000404546,ENSP00000420792,ENSP00000420416,ENSP00000400544,ENSP00000379350,ENSP00000388694</t>
  </si>
  <si>
    <t>NM_001145847,NM_001145852,NM_001145851,NM_001145850,NM_001145849,NM_001145848,NM_006017</t>
  </si>
  <si>
    <t>NP_001139319.1,NP_001139324.1,NP_001139323.1,NP_001139322.1,NP_001139321.1,NP_001139320.1,NP_006008.1</t>
  </si>
  <si>
    <t>ENST00000503884,ENST00000505450,ENST00000513448,ENST00000508167,ENST00000510224,ENST00000513946,ENST00000511270,ENST00000511153,ENST00000502943,ENST00000508322,ENST00000508940,ENST00000514967,ENST00000504842,ENST00000513108,ENST00000502501,ENST00000514693,ENST00000512304,ENST00000447510,ENST00000540805,ENST00000539194</t>
  </si>
  <si>
    <t>ENSP00000423860,ENSP00000426090,ENSP00000427346,ENSP00000426809,ENSP00000424738,ENSP00000424569,ENSP00000425927,ENSP00000422704,ENSP00000423793,ENSP00000415481,ENSP00000438045,ENSP00000443620</t>
  </si>
  <si>
    <t>Homo sapiens interferon, gamma-inducible protein 16 (IFI16)</t>
  </si>
  <si>
    <t>NM_005531,NM_001206567</t>
  </si>
  <si>
    <t>NP_005522.2,NP_001193496.1</t>
  </si>
  <si>
    <t>ENST00000566111,ENST00000426592,ENST00000447473,ENST00000368131,ENST00000368132,ENST00000493884,ENST00000483916,ENST00000295809,ENST00000359709,ENST00000448393,ENST00000567661,ENST00000474473,ENST00000562225,ENST00000340979</t>
  </si>
  <si>
    <t>ENSP00000458084,ENSP00000406406,ENSP00000407052,ENSP00000357113,ENSP00000357114,ENSP00000295809,ENSP00000352740,ENSP00000404325,ENSP00000456094,ENSP00000456129,ENSP00000342741</t>
  </si>
  <si>
    <t>Homo sapiens eukaryotic translation initiation factor 3, subunit A (EIF3A)</t>
  </si>
  <si>
    <t>ENST00000369144,ENST00000462527,ENST00000541549</t>
  </si>
  <si>
    <t>ENSP00000358140,ENSP00000438178</t>
  </si>
  <si>
    <t>NM_001114091,NM_001256</t>
  </si>
  <si>
    <t>NP_001107563.1,NP_001247.3</t>
  </si>
  <si>
    <t>ENST00000066544,ENST00000531206,ENST00000570740,ENST00000533415,ENST00000571643,ENST00000527547,ENST00000526866,ENST00000573502,ENST00000525495,ENST00000574304,ENST00000575830,ENST00000576484,ENST00000573550,ENST00000570818,ENST00000575483,ENST00000532893,ENST00000528748,ENST00000532575,ENST00000528147</t>
  </si>
  <si>
    <t>ENSP00000066544,ENSP00000434614,ENSP00000460830,ENSP00000432211,ENSP00000460279,ENSP00000437339,ENSP00000432105,ENSP00000460132,ENSP00000458904,ENSP00000459307,ENSP00000460424,ENSP00000460061,ENSP00000460454,ENSP00000466424</t>
  </si>
  <si>
    <t>ENST00000261597,ENST00000575515,ENST00000576274,ENST00000574567,ENST00000574096</t>
  </si>
  <si>
    <t>ENSP00000261597,ENSP00000461227,ENSP00000476919,ENSP00000458236</t>
  </si>
  <si>
    <t>ENSP00000457085,ENSP00000456480,ENSP00000455747,ENSP00000457017,ENSP00000455327</t>
  </si>
  <si>
    <t>ENSP00000385443,ENSP00000384097,ENSP00000444512,ENSP00000390326,ENSP00000338556,ENSP00000445203|ENSP00000384766,ENSP00000386102,ENSP00000396498,ENSP00000395335,ENSP00000445255,ENSP00000297186</t>
  </si>
  <si>
    <t>Homo sapiens family with sequence similarity 20, member B (FAM20B)</t>
  </si>
  <si>
    <t>ENST00000440702,ENST00000263733</t>
  </si>
  <si>
    <t>ENSP00000404005,ENSP00000263733</t>
  </si>
  <si>
    <t>NM_001257376,NM_182835,NM_016106</t>
  </si>
  <si>
    <t>NP_001244305.1,NP_878255.1,NP_057190.2</t>
  </si>
  <si>
    <t>ENST00000458591,ENST00000555259,ENST00000463622,ENST00000544052,ENST00000556768,ENST00000484733,ENST00000557713,ENST00000311943,ENST00000557076,ENST00000553693,ENST00000396629,ENST00000556413,ENST00000554776,ENST00000556534,ENST00000469043,ENST00000554819,ENST00000553278,ENST00000555953,ENST00000554486,ENST00000554437,ENST00000556486,ENST00000556256,ENST00000555550,ENST00000553280</t>
  </si>
  <si>
    <t>ENSP00000390783,ENSP00000452323,ENSP00000451298,ENSP00000443010,ENSP00000451811,ENSP00000452178,ENSP00000451064,ENSP00000309417,ENSP00000450755,ENSP00000452308,ENSP00000379870,ENSP00000452046,ENSP00000452448,ENSP00000450546</t>
  </si>
  <si>
    <t>NM_001261403,NM_002502,NM_001077494</t>
  </si>
  <si>
    <t>NP_001248332.1,NP_002493.3,NP_001070962.1</t>
  </si>
  <si>
    <t>ENST00000593908,ENST00000601386,ENST00000369966,ENST00000471698,ENST00000467116,ENST00000189444,ENST00000336486,ENST00000473400,ENST00000428099,ENST00000610498</t>
  </si>
  <si>
    <t>ENSP00000470826,ENSP00000358983,ENSP00000471586,ENSP00000189444,ENSP00000410256,ENSP00000480211</t>
  </si>
  <si>
    <t>ENST00000307720,ENST00000512699,ENST00000507213</t>
  </si>
  <si>
    <t>ENSP00000303754,ENSP00000423207,ENSP00000421221</t>
  </si>
  <si>
    <t>NM_004501,NM_031844</t>
  </si>
  <si>
    <t>NP_004492.2,NP_114032.2</t>
  </si>
  <si>
    <t>ENST00000444376,ENST00000283179,ENST00000366525,ENST00000483966,ENST00000468690,ENST00000440865,ENST00000465881,ENST00000476241</t>
  </si>
  <si>
    <t>ENSP00000393151,ENSP00000283179,ENSP00000410728</t>
  </si>
  <si>
    <t>NM_173844,NM_006785</t>
  </si>
  <si>
    <t>NP_776216.1,NP_006776.1</t>
  </si>
  <si>
    <t>ENST00000348428,ENST00000345724,ENST00000591792,ENST00000589873,ENST00000587438</t>
  </si>
  <si>
    <t>ENSP00000319279,ENSP00000304161,ENSP00000467222</t>
  </si>
  <si>
    <t>ENST00000586725,ENST00000591924,ENST00000589189,ENST00000269195,ENST00000591081,ENST00000590654</t>
  </si>
  <si>
    <t>ENSP00000465699,ENSP00000465341,ENSP00000269195,ENSP00000466411,ENSP00000465452</t>
  </si>
  <si>
    <t>ENST00000422380,ENST00000414812,ENST00000433351,ENST00000264441,ENST00000451279,ENST00000480949</t>
  </si>
  <si>
    <t>ENSP00000404327,ENSP00000413178,ENSP00000387654,ENSP00000264441,ENSP00000408751</t>
  </si>
  <si>
    <t>NM_145333,NM_003188</t>
  </si>
  <si>
    <t>NP_663306.1,NP_003179.1</t>
  </si>
  <si>
    <t>ENST00000369325,ENST00000369327,ENST00000369332,ENST00000369329,ENST00000479630,ENST00000369320</t>
  </si>
  <si>
    <t>ENSP00000358331,ENSP00000358333,ENSP00000358338,ENSP00000358335,ENSP00000358326</t>
  </si>
  <si>
    <t>ENST00000394583,ENST00000340281,ENST00000361911,ENST00000370447</t>
  </si>
  <si>
    <t>ENSP00000378084,ENSP00000340796,ENSP00000355318,ENSP00000359476</t>
  </si>
  <si>
    <t>ENST00000485797,ENST00000477982,ENST00000355619,ENST00000417323,ENST00000470210,ENST00000472949</t>
  </si>
  <si>
    <t>ENSP00000347834,ENSP00000412183</t>
  </si>
  <si>
    <t>NM_178584,NM_144710,NR_047585</t>
  </si>
  <si>
    <t>NP_848699.1,NP_653311.1,-</t>
  </si>
  <si>
    <t>ENST00000356688,ENST00000397712,ENST00000397714,ENST00000437928,ENST00000415095,ENST00000468616,ENST00000483047,ENST00000486678,ENST00000425498,ENST00000493445,ENST00000423520,ENST00000461295,ENST00000411469,ENST00000442746</t>
  </si>
  <si>
    <t>ENSP00000349116,ENSP00000380824,ENSP00000380826,ENSP00000407790,ENSP00000396728,ENSP00000446331,ENSP00000399270,ENSP00000445707,ENSP00000416597,ENSP00000441218,ENSP00000396051,ENSP00000408392</t>
  </si>
  <si>
    <t>ENST00000571133,ENST00000396503,ENST00000573618,ENST00000355674,ENST00000573029,ENST00000573251,ENST00000574823,ENST00000570767,ENST00000572090,ENST00000571988,ENST00000573791,ENST00000574287</t>
  </si>
  <si>
    <t>ENSP00000460871,ENSP00000379760,ENSP00000459207,ENSP00000347897,ENSP00000461513,ENSP00000460748,ENSP00000459622,ENSP00000458684,ENSP00000460343,ENSP00000459331</t>
  </si>
  <si>
    <t>ENST00000479790,ENST00000382374,ENST00000460488,ENST00000478700,ENST00000480341,ENST00000476895,ENST00000469058,ENST00000468222</t>
  </si>
  <si>
    <t>ENSP00000371811,ENSP00000431792</t>
  </si>
  <si>
    <t>NM_001242508,NM_018030,NM_080597</t>
  </si>
  <si>
    <t>NP_001229437.1,NP_060500.3,NP_542164.2</t>
  </si>
  <si>
    <t>ENST00000319481,ENST00000399443,ENST00000357041,ENST00000578013,ENST00000578055,ENST00000585247,ENST00000584119,ENST00000581043,ENST00000579851,ENST00000578091,ENST00000582645,ENST00000579764,ENST00000582350,ENST00000399441,ENST00000582618,ENST00000581343</t>
  </si>
  <si>
    <t>ENSP00000320291,ENSP00000382372,ENSP00000349545,ENSP00000464617,ENSP00000462155,ENSP00000464541,ENSP00000463452,ENSP00000462887,ENSP00000462477,ENSP00000382370</t>
  </si>
  <si>
    <t>ENST00000371410,ENST00000455986,ENST00000477789,ENST00000482407</t>
  </si>
  <si>
    <t>NM_001100409,NM_015571</t>
  </si>
  <si>
    <t>NP_001093879.1,NP_056386.2</t>
  </si>
  <si>
    <t>ENST00000370010,ENST00000327284,ENST00000447266,ENST00000493959,ENST00000483859,ENST00000487548,ENST00000424947,ENST00000436928,ENST00000485497,ENST00000503501,ENST00000476060,ENST00000474906</t>
  </si>
  <si>
    <t>ENSP00000359027,ENSP00000321820,ENSP00000402527,ENSP00000425624,ENSP00000426480,ENSP00000391426,ENSP00000422576</t>
  </si>
  <si>
    <t>Homo sapiens cleavage and polyadenylation specific factor 2, 100kDa (CPSF2)</t>
  </si>
  <si>
    <t>ENST00000298875,ENST00000553427,ENST00000554290,ENST00000556622,ENST00000555244</t>
  </si>
  <si>
    <t>ENSP00000298875,ENSP00000451418,ENSP00000452503,ENSP00000451390</t>
  </si>
  <si>
    <t>ENST00000300896,ENST00000592339,ENST00000593071,ENST00000586238,ENST00000585720,ENST00000590133,ENST00000591768,ENST00000587651,ENST00000589552,ENST00000589335,ENST00000393003,ENST00000588898,ENST00000589761,ENST00000586881,ENST00000590297</t>
  </si>
  <si>
    <t>ENSP00000300896,ENSP00000467885,ENSP00000466740,ENSP00000465844,ENSP00000464762,ENSP00000465922,ENSP00000465659,ENSP00000376727,ENSP00000467098,ENSP00000467435</t>
  </si>
  <si>
    <t>ENST00000439461,ENST00000593703,ENST00000601711,ENST00000599581,ENST00000600821,ENST00000595149,ENST00000595000,ENST00000593612,ENST00000600016</t>
  </si>
  <si>
    <t>ENSP00000409652,ENSP00000469186,ENSP00000472743,ENSP00000471965,ENSP00000472708,ENSP00000471620,ENSP00000472041,ENSP00000468950</t>
  </si>
  <si>
    <t>ENST00000442697,ENST00000420137,ENST00000471101,ENST00000334223,ENST00000455208,ENST00000398991,ENST00000426476,ENST00000474664,ENST00000493110,ENST00000471738,ENST00000469942,ENST00000610281</t>
  </si>
  <si>
    <t>ENSP00000404381,ENSP00000416179,ENSP00000335249,ENSP00000389471,ENSP00000390023,ENSP00000390019,ENSP00000480565</t>
  </si>
  <si>
    <t>NM_001142405,NM_006553</t>
  </si>
  <si>
    <t>NP_001135877.1,NP_006544.2</t>
  </si>
  <si>
    <t>ENST00000590956,ENST00000336990,ENST00000588729,ENST00000589565,ENST00000589952,ENST00000592149,ENST00000587862,ENST00000587735,ENST00000440960</t>
  </si>
  <si>
    <t>ENSP00000467026,ENSP00000338988,ENSP00000467896,ENSP00000467261,ENSP00000467457,ENSP00000466737,ENSP00000465996,ENSP00000464848,ENSP00000404700</t>
  </si>
  <si>
    <t>ENST00000340096,ENST00000380567,ENST00000485052,ENST00000490265,ENST00000466534,ENST00000464463,ENST00000474705,ENST00000380550,ENST00000398395</t>
  </si>
  <si>
    <t>ENSP00000344314,ENSP00000369941,ENSP00000369923,ENSP00000381432</t>
  </si>
  <si>
    <t>Homo sapiens X-prolyl aminopeptidase 3, mitochondrial (XPNPEP3)</t>
  </si>
  <si>
    <t>ENST00000417688,ENST00000482652,ENST00000357137,ENST00000428799,ENST00000465258,ENST00000614001</t>
  </si>
  <si>
    <t>ENSP00000349658,ENSP00000394283,ENSP00000483752</t>
  </si>
  <si>
    <t>ENST00000472110,ENST00000402966</t>
  </si>
  <si>
    <t>NM_001144073,NM_012124|NR_026659</t>
  </si>
  <si>
    <t>NP_001137545.1,NP_036256.2|-</t>
  </si>
  <si>
    <t>ENST00000320585,ENST00000529987,ENST00000533724,ENST00000457199,ENST00000529726,ENST00000525317,ENST00000533772,ENST00000530765,ENST00000533062,ENST00000529402,ENST00000533739</t>
  </si>
  <si>
    <t>ENSP00000319255,ENSP00000433719,ENSP00000401080,ENSP00000436632,ENSP00000436945,ENSP00000434040,ENSP00000431929,ENSP00000433440,ENSP00000432019</t>
  </si>
  <si>
    <t>Homo sapiens zinc finger, DHHC-type containing 20 (ZDHHC20)</t>
  </si>
  <si>
    <t>ENST00000626464,ENST00000400590,ENST00000464055,ENST00000477811,ENST00000494731,ENST00000484277,ENST00000382466,ENST00000542645,ENST00000320220,ENST00000415724</t>
  </si>
  <si>
    <t>ENSP00000485858,ENSP00000383433,ENSP00000371905,ENSP00000443236,ENSP00000313583,ENSP00000401232</t>
  </si>
  <si>
    <t>NM_019591,NM_001256280,NM_001256279</t>
  </si>
  <si>
    <t>NP_062537.2,NP_001243209.1,NP_001243208.1</t>
  </si>
  <si>
    <t>ENST00000537956,ENST00000545101,ENST00000540238,ENST00000328654,ENST00000544181,ENST00000534834,ENST00000627376</t>
  </si>
  <si>
    <t>ENSP00000443888,ENSP00000333725,ENSP00000445494,ENSP00000437420</t>
  </si>
  <si>
    <t>NM_001178007,NM_152618</t>
  </si>
  <si>
    <t>NP_001171478.1,NP_689831.2</t>
  </si>
  <si>
    <t>ENST00000314218,ENST00000433287,ENST00000542236</t>
  </si>
  <si>
    <t>ENSP00000319062,ENSP00000398912,ENSP00000438273</t>
  </si>
  <si>
    <t>Homo sapiens gremlin 1, DAN family BMP antagonist (GREM1)</t>
  </si>
  <si>
    <t>NM_001191323,NM_001191322,NM_013372</t>
  </si>
  <si>
    <t>NP_001178252.1,NP_001178251.1,NP_037504.1</t>
  </si>
  <si>
    <t>ENST00000622074,ENST00000560677,ENST00000560830</t>
  </si>
  <si>
    <t>ENSP00000478319,ENSP00000453387,ENSP00000453141</t>
  </si>
  <si>
    <t>NM_013380,NM_001083335</t>
  </si>
  <si>
    <t>NP_037512.3,NP_001076804.1</t>
  </si>
  <si>
    <t>ENST00000354340,ENST00000337401,ENST00000587909,ENST00000590687,ENST00000592151,ENST00000588057</t>
  </si>
  <si>
    <t>ENSP00000346305,ENSP00000337081,ENSP00000466797,ENSP00000467064,ENSP00000464862,ENSP00000467994</t>
  </si>
  <si>
    <t>NM_197977,NM_003452</t>
  </si>
  <si>
    <t>NP_932094.1,NP_003443.2</t>
  </si>
  <si>
    <t>ENST00000374861,ENST00000339664,ENST00000259395,ENST00000615466</t>
  </si>
  <si>
    <t>ENSP00000363995,ENSP00000342019,ENSP00000259395,ENSP00000483461</t>
  </si>
  <si>
    <t>Homo sapiens aldo-keto reductase family 1, member C3 (AKR1C3)</t>
  </si>
  <si>
    <t>NM_001253908,NM_003739</t>
  </si>
  <si>
    <t>NP_001240837.1,NP_003730.4</t>
  </si>
  <si>
    <t>ENST00000605781,ENST00000470862,ENST00000480822,ENST00000602997,ENST00000605149,ENST00000380554,ENST00000480697,ENST00000605322,ENST00000603312,ENST00000603484,ENST00000439082</t>
  </si>
  <si>
    <t>ENSP00000474188,ENSP00000474882,ENSP00000369927,ENSP00000401327</t>
  </si>
  <si>
    <t>ENST00000378069,ENST00000487544,ENST00000468431</t>
  </si>
  <si>
    <t>NM_001258438,NM_001258437,NM_152295,NR_047678,NR_047677,NR_047676</t>
  </si>
  <si>
    <t>NP_001245367.1,NP_001245366.1,NP_689508.3,-,-,-</t>
  </si>
  <si>
    <t>ENST00000502553,ENST00000514259,ENST00000265112,ENST00000502508,ENST00000508361,ENST00000455217,ENST00000507716,ENST00000509731,ENST00000505012,ENST00000513066,ENST00000506040,ENST00000504698,ENST00000509410,ENST00000503422,ENST00000627006,ENST00000626210</t>
  </si>
  <si>
    <t>ENSP00000424387,ENSP00000422130,ENSP00000265112,ENSP00000427627,ENSP00000387710,ENSP00000420893,ENSP00000427304,ENSP00000422291,ENSP00000425524,ENSP00000422598,ENSP00000486068,ENSP00000486893</t>
  </si>
  <si>
    <t>ENST00000540163,ENST00000375490,ENST00000541475,ENST00000544313,ENST00000542140,ENST00000544582,ENST00000545678,ENST00000538134,ENST00000624815</t>
  </si>
  <si>
    <t>ENSP00000439918,ENSP00000364639,ENSP00000440949,ENSP00000437847,ENSP00000437998,ENSP00000440923,ENSP00000445848,ENSP00000485655</t>
  </si>
  <si>
    <t>Homo sapiens adaptor-related protein complex 5, beta 1 subunit (AP5B1)</t>
  </si>
  <si>
    <t>ENST00000457308,ENST00000452978,ENST00000622155,ENST00000620517,ENST00000477981,ENST00000497514,ENST00000442331,ENST00000474104,ENST00000492042,ENST00000479345,ENST00000619207</t>
  </si>
  <si>
    <t>ENSP00000405111,ENSP00000397841,ENSP00000482275,ENSP00000387404,ENSP00000479840</t>
  </si>
  <si>
    <t>Homo sapiens inhibitor of growth family, member 3 (ING3)</t>
  </si>
  <si>
    <t>ENST00000315870,ENST00000339121,ENST00000427726,ENST00000445699,ENST00000431467,ENST00000497502</t>
  </si>
  <si>
    <t>ENSP00000320566,ENSP00000341697,ENSP00000410406,ENSP00000395719,ENSP00000388506</t>
  </si>
  <si>
    <t>NM_198178,NM_001184967,NM_198158,NM_000248,NM_198177,NM_006722,NM_198159</t>
  </si>
  <si>
    <t>NP_937821.2,NP_001171896.1,NP_937801.1,NP_000239.1,NP_937820.1,NP_006713.1,NP_937802.1</t>
  </si>
  <si>
    <t>ENST00000352241,ENST00000448226,ENST00000461511,ENST00000495741,ENST00000429090,ENST00000433517,ENST00000472437,ENST00000457080,ENST00000314589,ENST00000451708,ENST00000314557,ENST00000394351,ENST00000478490,ENST00000394348,ENST00000531774,ENST00000461014,ENST00000328528</t>
  </si>
  <si>
    <t>ENSP00000295600,ENSP00000391803,ENSP00000407620,ENSP00000411389,ENSP00000418845,ENSP00000391276,ENSP00000324443,ENSP00000398639,ENSP00000324246,ENSP00000377880,ENSP00000433487,ENSP00000481286,ENSP00000435909,ENSP00000327867</t>
  </si>
  <si>
    <t>Homo sapiens germ cell-less, spermatogenesis associated 1 (GMCL1)</t>
  </si>
  <si>
    <t>ENST00000282570,ENST00000468386,ENST00000471404,ENST00000495047</t>
  </si>
  <si>
    <t>Homo sapiens protein phosphatase 1, regulatory (inhibitor)</t>
  </si>
  <si>
    <t>ENST00000618156,ENST00000418939,ENST00000460437,ENST00000438848,ENST00000413183,ENST00000462906,ENST00000625807</t>
  </si>
  <si>
    <t>ENSP00000484580,ENSP00000415175,ENSP00000400238,ENSP00000406725,ENSP00000486328</t>
  </si>
  <si>
    <t>ENST00000560802,ENST00000558063,ENST00000560254,ENST00000261845,ENST00000558100,ENST00000558841,ENST00000558891,ENST00000560774</t>
  </si>
  <si>
    <t>Homo sapiens ring finger protein 125, E3 ubiquitin protein ligase (RNF125)</t>
  </si>
  <si>
    <t>ENST00000217740,ENST00000580209,ENST00000583384,ENST00000583814,ENST00000580863</t>
  </si>
  <si>
    <t>ENSP00000217740,ENSP00000463935</t>
  </si>
  <si>
    <t>NR_040724,NR_040722,NR_040723,NM_001242600,NM_001242599,NM_004902,NM_184234</t>
  </si>
  <si>
    <t>-,-,-,NP_001229529.1,NP_001229528.1,NP_004893.1,NP_909122.1</t>
  </si>
  <si>
    <t>ENST00000463004,ENST00000461283,ENST00000253363,ENST00000361162,ENST00000338163,ENST00000403542,ENST00000528062,ENST00000495293,ENST00000476806,ENST00000444878,ENST00000429968,ENST00000492779,ENST00000496183,ENST00000482563,ENST00000490354,ENST00000465158,ENST00000448303,ENST00000470563,ENST00000471635,ENST00000468086,ENST00000475651,ENST00000615771,ENST00000494274,ENST00000490484,ENST00000374038,ENST00000412738,ENST00000434927,ENST00000425184,ENST00000481037,ENST00000455343,ENST00000416108,ENST00000477334,ENST00000426951,ENST00000442447,ENST00000449489,ENST00000433027,ENST00000487604,ENST00000453310,ENST00000498280,ENST00000416529,ENST00000397370,ENST00000463098,ENST00000461849,ENST00000493853</t>
  </si>
  <si>
    <t>ENSP00000253363,ENSP00000354437,ENSP00000344581,ENSP00000385977,ENSP00000436747,ENSP00000483837,ENSP00000394602,ENSP00000395124,ENSP00000394824,ENSP00000363150,ENSP00000397917,ENSP00000393493,ENSP00000389459,ENSP00000395563,ENSP00000406900,ENSP00000405916,ENSP00000390303,ENSP00000407466,ENSP00000397443,ENSP00000407150,ENSP00000380527</t>
  </si>
  <si>
    <t>Homo sapiens aldo-keto reductase family 1, member C1 (AKR1C1)|Homo sapiens aldo-keto reductase family 1, member C3 (AKR1C3)|Homo sapiens aldo-keto reductase family 1, member C4 (AKR1C4)</t>
  </si>
  <si>
    <t>NM_001353|NM_001253908,NM_003739|NM_001818</t>
  </si>
  <si>
    <t>NP_001344.2|NP_001240837.1,NP_003730.4|NP_001809.3</t>
  </si>
  <si>
    <t>ENST00000477661,ENST00000380872,ENST00000442997,ENST00000380859,ENST00000476100,ENST00000434459|ENST00000605781,ENST00000470862,ENST00000480822,ENST00000602997,ENST00000605149,ENST00000380554,ENST00000480697,ENST00000605322,ENST00000603312,ENST00000603484,ENST00000439082|ENST00000469875,ENST00000380448,ENST00000263126</t>
  </si>
  <si>
    <t>ENSP00000370254,ENSP00000416415,ENSP00000370240,ENSP00000412248|ENSP00000474188,ENSP00000474882,ENSP00000369927,ENSP00000401327|ENSP00000369814,ENSP00000263126</t>
  </si>
  <si>
    <t>NM_025189,NM_001172671</t>
  </si>
  <si>
    <t>NP_079465.3,NP_001166142.1</t>
  </si>
  <si>
    <t>ENST00000619540,ENST00000624457,ENST00000623534,ENST00000623260,ENST00000625163,ENST00000627644</t>
  </si>
  <si>
    <t>ENSP00000481970,ENSP00000485069,ENSP00000485410,ENSP00000485210,ENSP00000487036</t>
  </si>
  <si>
    <t>ENST00000335815,ENST00000520331,ENST00000518048</t>
  </si>
  <si>
    <t>ENSP00000337122,ENSP00000429675,ENSP00000428752</t>
  </si>
  <si>
    <t>NM_203284,NM_005349,NM_015874,NM_203283</t>
  </si>
  <si>
    <t>NP_976029.1,NP_005340.2,NP_056958.3,NP_976028.1</t>
  </si>
  <si>
    <t>ENST00000512351,ENST00000510778,ENST00000506956,ENST00000512671,ENST00000345843,ENST00000361572,ENST00000514380,ENST00000514807,ENST00000348160,ENST00000509158,ENST00000513182,ENST00000511401,ENST00000515023,ENST00000505958,ENST00000507561,ENST00000514730,ENST00000507574,ENST00000514675,ENST00000515573,ENST00000511546,ENST00000504907,ENST00000342320,ENST00000514656,ENST00000511451,ENST00000504938,ENST00000506903,ENST00000510725,ENST00000504423,ENST00000505727,ENST00000355476,ENST00000342295</t>
  </si>
  <si>
    <t>ENSP00000424789,ENSP00000427170,ENSP00000425750,ENSP00000423644,ENSP00000305815,ENSP00000354528,ENSP00000424989,ENSP00000339699,ENSP00000424804,ENSP00000427344,ENSP00000426872,ENSP00000423907,ENSP00000425061,ENSP00000422617,ENSP00000423575,ENSP00000423406,ENSP00000422838,ENSP00000423703,ENSP00000340124,ENSP00000424459,ENSP00000421804,ENSP00000347659,ENSP00000345206</t>
  </si>
  <si>
    <t>ENST00000506261,ENST00000504218,ENST00000504384,ENST00000507557,ENST00000508105,ENST00000311638,ENST00000380837,ENST00000507556,ENST00000504190,ENST00000507885,ENST00000502620,ENST00000503831,ENST00000514480</t>
  </si>
  <si>
    <t>ENSP00000422402,ENSP00000425646,ENSP00000424949,ENSP00000426760,ENSP00000309007,ENSP00000370217,ENSP00000427651,ENSP00000426581,ENSP00000424255,ENSP00000426698,ENSP00000423720</t>
  </si>
  <si>
    <t>ENST00000523111,ENST00000523432,ENST00000521346,ENST00000518360,ENST00000517630,ENST00000520809,ENST00000520595,ENST00000521628</t>
  </si>
  <si>
    <t>ENSP00000428209,ENSP00000430019,ENSP00000428818,ENSP00000430491,ENSP00000429886,ENSP00000429419,ENSP00000430741</t>
  </si>
  <si>
    <t>NM_001271848,NM_144566</t>
  </si>
  <si>
    <t>NP_001258777.1,NP_653167.1</t>
  </si>
  <si>
    <t>ENST00000254321,ENST00000482090,ENST00000622593</t>
  </si>
  <si>
    <t>ENSP00000254321,ENSP00000467996,ENSP00000479449</t>
  </si>
  <si>
    <t>NM_001247997,NM_198240,NM_002956</t>
  </si>
  <si>
    <t>NP_001234926.1,NP_937883.1,NP_002947.1</t>
  </si>
  <si>
    <t>ENST00000361654,ENST00000545889,ENST00000302528,ENST00000537178,ENST00000501271,ENST00000536634,ENST00000540539,ENST00000538120,ENST00000540338,ENST00000543205,ENST00000540304,ENST00000514271,ENST00000541410,ENST00000537004,ENST00000541108,ENST00000535290,ENST00000539080,ENST00000358808,ENST00000620786</t>
  </si>
  <si>
    <t>ENSP00000355314,ENSP00000438743,ENSP00000303585,ENSP00000445531,ENSP00000437617,ENSP00000439093,ENSP00000437786,ENSP00000441409,ENSP00000446379,ENSP00000439472,ENSP00000445387,ENSP00000351665,ENSP00000479322</t>
  </si>
  <si>
    <t>Homo sapiens 5'-nucleotidase, cytosolic IIIA (NT5C3A)</t>
  </si>
  <si>
    <t>NM_001166118,NM_016489,NM_001002009,NM_001002010</t>
  </si>
  <si>
    <t>NP_001159590.1,NP_057573.2,NP_001002009.1,NP_001002010.1</t>
  </si>
  <si>
    <t>ENST00000610140,ENST00000456458,ENST00000396152,ENST00000242210,ENST00000473083,ENST00000409467,ENST00000409787,ENST00000461851,ENST00000464840,ENST00000449201,ENST00000497542,ENST00000405342,ENST00000620705,ENST00000381626</t>
  </si>
  <si>
    <t>ENSP00000476480,ENSP00000389676,ENSP00000379456,ENSP00000242210,ENSP00000387166,ENSP00000387205,ENSP00000401161,ENSP00000385261,ENSP00000484415,ENSP00000371039</t>
  </si>
  <si>
    <t>NM_183004,NM_001969</t>
  </si>
  <si>
    <t>NP_892116.2,NP_001960.2</t>
  </si>
  <si>
    <t>ENST00000560877,ENST00000216554,ENST00000559249,ENST00000560338,ENST00000560763,ENST00000560200,ENST00000558316,ENST00000558265,ENST00000561325,ENST00000392715,ENST00000559130,ENST00000559532,ENST00000558506,ENST00000558551,ENST00000561439,ENST00000561023,ENST00000559923,ENST00000559011,ENST00000561380,ENST00000558800,ENST00000561406</t>
  </si>
  <si>
    <t>ENSP00000216554,ENSP00000453633,ENSP00000452636,ENSP00000453396,ENSP00000453856,ENSP00000452883,ENSP00000376477,ENSP00000452615,ENSP00000453468,ENSP00000453743</t>
  </si>
  <si>
    <t>NM_002296,NM_194442</t>
  </si>
  <si>
    <t>NP_002287.2,NP_919424.1</t>
  </si>
  <si>
    <t>ENST00000272163,ENST00000441022,ENST00000424022,ENST00000487054,ENST00000425080,ENST00000488632,ENST00000421383,ENST00000338179</t>
  </si>
  <si>
    <t>ENSP00000272163,ENSP00000388059,ENSP00000416554,ENSP00000339883</t>
  </si>
  <si>
    <t>Homo sapiens Leo1, Paf1/RNA polymerase II complex component, homolog (S. cerevisiae)</t>
  </si>
  <si>
    <t>ENST00000299601,ENST00000315141,ENST00000558949</t>
  </si>
  <si>
    <t>ENSP00000299601,ENSP00000314610</t>
  </si>
  <si>
    <t>NM_017743,NM_197960,NM_197961,NM_130434</t>
  </si>
  <si>
    <t>NP_060213.2,NP_932064.1,NP_932065.1,NP_569118.1</t>
  </si>
  <si>
    <t>ENST00000341861,ENST00000358939,ENST00000300141,ENST00000321147,ENST00000558786,ENST00000559233,ENST00000395652,ENST00000560048,ENST00000558559,ENST00000560597,ENST00000558363,ENST00000559526,ENST00000558529,ENST00000560436,ENST00000560194,ENST00000560665</t>
  </si>
  <si>
    <t>ENSP00000339208,ENSP00000351817,ENSP00000300141,ENSP00000318111,ENSP00000454922,ENSP00000453954,ENSP00000379013,ENSP00000452643,ENSP00000455592,ENSP00000452719,ENSP00000453870,ENSP00000453756</t>
  </si>
  <si>
    <t>ENST00000582809,ENST00000583843,ENST00000579450,ENST00000577616,ENST00000582195,ENST00000580705,ENST00000346027,ENST00000326270,ENST00000343388,ENST00000583690,ENST00000581041,ENST00000578697,ENST00000581286,ENST00000584367,ENST00000582660,ENST00000578931,ENST00000583310,ENST00000580203</t>
  </si>
  <si>
    <t>ENSP00000463595,ENSP00000463814,ENSP00000464557,ENSP00000462637,ENSP00000464516,ENSP00000275780,ENSP00000316512,ENSP00000340800,ENSP00000463986,ENSP00000462036,ENSP00000462851</t>
  </si>
  <si>
    <t>Homo sapiens neuroblastoma breakpoint family, member 3 (NBPF3)|Homo sapiens neuroblastoma breakpoint family, member 15 (NBPF15)|Homo sapiens neuroblastoma breakpoint family, member 11 (NBPF11)</t>
  </si>
  <si>
    <t>NM_032264,NM_001256417,NM_001256416,NR_046176|NM_001170755,NM_173638|NM_183372</t>
  </si>
  <si>
    <t>NP_115640.1,NP_001243346.1,NP_001243345.1,-|NP_001164226.1,NP_775909.2|NP_899228.4</t>
  </si>
  <si>
    <t>ENST00000454000,ENST00000475869,ENST00000318220,ENST00000478653,ENST00000485941,ENST00000342104,ENST00000486229,ENST00000318249,ENST00000434838,ENST00000467103,ENST00000469876,ENST00000477050,ENST00000619554|ENST00000488031,ENST00000584793,ENST00000579734,ENST00000478419,ENST00000584575,ENST00000578953,ENST00000581897,ENST00000577412|ENST00000614506,ENST00000615281,ENST00000613531,ENST00000614015,ENST00000614785,ENST00000580077</t>
  </si>
  <si>
    <t>ENSP00000415711,ENSP00000316739,ENSP00000340336,ENSP00000478530,ENSP00000316782,ENSP00000391865,ENSP00000479028,ENSP00000484028|ENSP00000481835,ENSP00000463178,ENSP00000462600|ENSP00000478618,ENSP00000477509,ENSP00000477874,ENSP00000484213,ENSP00000479429,ENSP00000463391</t>
  </si>
  <si>
    <t>ENST00000425827,ENST00000439995,ENST00000343979,ENST00000418338,ENST00000464860,ENST00000476676</t>
  </si>
  <si>
    <t>ENSP00000403707,ENSP00000388759,ENSP00000344162,ENSP00000397176</t>
  </si>
  <si>
    <t>NM_001201536,NM_139352,NM_005681</t>
  </si>
  <si>
    <t>NP_001188465.1,NP_647603.1,NP_005672.1</t>
  </si>
  <si>
    <t>ENST00000366890,ENST00000352967,ENST00000391883,ENST00000487009,ENST00000480065,ENST00000465263,ENST00000350027</t>
  </si>
  <si>
    <t>ENSP00000355856,ENSP00000327072,ENSP00000375755,ENSP00000339976</t>
  </si>
  <si>
    <t>ENST00000372699,ENST00000465152,ENST00000372697,ENST00000372696,ENST00000493756,ENST00000472043</t>
  </si>
  <si>
    <t>ENSP00000361784,ENSP00000361782,ENSP00000361781</t>
  </si>
  <si>
    <t>ENST00000549334,ENST00000299767,ENST00000548622,ENST00000540297,ENST00000548462,ENST00000550479,ENST00000551983,ENST00000552051,ENST00000550595,ENST00000614327</t>
  </si>
  <si>
    <t>ENSP00000446748,ENSP00000299767,ENSP00000446266,ENSP00000450215,ENSP00000477660</t>
  </si>
  <si>
    <t>NM_001252619,NM_001252618,NM_001252617,NM_002297</t>
  </si>
  <si>
    <t>NP_001239548.1,NP_001239547.1,NP_001239546.1,NP_002288.1</t>
  </si>
  <si>
    <t>ENST00000263598,ENST00000371781</t>
  </si>
  <si>
    <t>ENSP00000263598,ENSP00000360846</t>
  </si>
  <si>
    <t>Homo sapiens RAB6A, member RAS oncogene family (RAB6A)|Homo sapiens RAB6C-like (WTH3DI)</t>
  </si>
  <si>
    <t>NM_001243719,NM_001243718,NM_198896,NM_002869|NM_001077637</t>
  </si>
  <si>
    <t>NP_001230648.1,NP_001230647.1,NP_942599.1,NP_002860.2|NP_001071105.1</t>
  </si>
  <si>
    <t>ENST00000310653,ENST00000336083,ENST00000541973,ENST00000541588,ENST00000545625,ENST00000540771,ENST00000537446,ENST00000400470,ENST00000541795,ENST00000536566|ENST00000410061</t>
  </si>
  <si>
    <t>ENSP00000311449,ENSP00000336850,ENSP00000443782,ENSP00000445350,ENSP00000440469,ENSP00000438842,ENSP00000443470,ENSP00000437863|ENSP00000387307</t>
  </si>
  <si>
    <t>NM_013374,NM_001162429</t>
  </si>
  <si>
    <t>NP_037506.2,NP_001155901.1</t>
  </si>
  <si>
    <t>ENST00000307296,ENST00000435909,ENST00000430877,ENST00000413073,ENST00000477798,ENST00000498147,ENST00000484478,ENST00000494810,ENST00000459659,ENST00000412887,ENST00000482561,ENST00000487821,ENST00000465122,ENST00000495235,ENST00000489869,ENST00000473593,ENST00000457054</t>
  </si>
  <si>
    <t>ENSP00000307387,ENSP00000393777,ENSP00000398895,ENSP00000406693,ENSP00000415150,ENSP00000411825</t>
  </si>
  <si>
    <t>NM_001042459,NM_014890,NM_182909</t>
  </si>
  <si>
    <t>NP_001035924.1,NP_055705.2,NP_878913.2</t>
  </si>
  <si>
    <t>ENST00000476723,ENST00000477258,ENST00000354552,ENST00000487087,ENST00000471562,ENST00000331335,ENST00000495625,ENST00000398326,ENST00000468533,ENST00000383694</t>
  </si>
  <si>
    <t>ENSP00000417617,ENSP00000346560,ENSP00000417774,ENSP00000419642,ENSP00000327880,ENSP00000419874,ENSP00000381371,ENSP00000373192</t>
  </si>
  <si>
    <t>ENST00000277225,ENST00000472574,ENST00000480607,ENST00000374686,ENST00000441147,ENST00000497489,ENST00000469433,ENST00000471032,ENST00000479166,ENST00000427098,ENST00000482115,ENST00000483287</t>
  </si>
  <si>
    <t>ENSP00000277225,ENSP00000476222,ENSP00000363818,ENSP00000397306,ENSP00000405837</t>
  </si>
  <si>
    <t>ENST00000576281,ENST00000361413,ENST00000570790,ENST00000572370,ENST00000542826,ENST00000575027,ENST00000572235,ENST00000576823,ENST00000571642,ENST00000573033,ENST00000570455</t>
  </si>
  <si>
    <t>ENSP00000460156,ENSP00000355250,ENSP00000460816,ENSP00000460050,ENSP00000444946,ENSP00000459530,ENSP00000458983,ENSP00000458247</t>
  </si>
  <si>
    <t>ENSP00000394820,ENSP00000317636,ENSP00000462678,ENSP00000462291,ENSP00000463701,ENSP00000463099,ENSP00000462077,ENSP00000414933,ENSP00000341983,ENSP00000462248,ENSP00000462547</t>
  </si>
  <si>
    <t>ENST00000283351,ENST00000580104,ENST00000582509,ENST00000582539,ENST00000581057,ENST00000584604,ENST00000578886,ENST00000578252,ENST00000577474,ENST00000582513,ENST00000578658,ENST00000584876,ENST00000577426</t>
  </si>
  <si>
    <t>ENSP00000283351,ENSP00000462550,ENSP00000463764,ENSP00000463876,ENSP00000464591,ENSP00000463973</t>
  </si>
  <si>
    <t>NM_001199856,NM_001199855,NM_001199853,NM_001199852,NM_016282</t>
  </si>
  <si>
    <t>NP_001186785.1,NP_001186784.1,NP_001186782.1,NP_001186781.1,NP_057366.2</t>
  </si>
  <si>
    <t>ENST00000381809,ENST00000359883,ENST00000447596,ENST00000611749</t>
  </si>
  <si>
    <t>ENSP00000371230,ENSP00000352948,ENSP00000413933,ENSP00000482308</t>
  </si>
  <si>
    <t>NM_001146335,NM_182767</t>
  </si>
  <si>
    <t>NP_001139807.1,NP_877499.1</t>
  </si>
  <si>
    <t>ENST00000266682,ENST00000309283,ENST00000552192,ENST00000548267,ENST00000551818,ENST00000551388,ENST00000551612,ENST00000450363,ENST00000547240,ENST00000549540,ENST00000551010</t>
  </si>
  <si>
    <t>ENSP00000266682,ENSP00000311645,ENSP00000450145,ENSP00000449263,ENSP00000390706,ENSP00000448308,ENSP00000475035</t>
  </si>
  <si>
    <t>NM_001197051,NM_053023</t>
  </si>
  <si>
    <t>NP_001183980.1,NP_444251.1</t>
  </si>
  <si>
    <t>ENST00000544484,ENST00000544040,ENST00000535717,ENST00000542717,ENST00000536301,ENST00000540960,ENST00000537634,ENST00000545083,ENST00000536999,ENST00000535810,ENST00000545942,ENST00000430771,ENST00000545584,ENST00000357008</t>
  </si>
  <si>
    <t>ENSP00000440392,ENSP00000440542,ENSP00000437506,ENSP00000444614,ENSP00000349508</t>
  </si>
  <si>
    <t>Homo sapiens nuclear transcription factor Y, beta (NFYB)</t>
  </si>
  <si>
    <t>ENST00000240055,ENST00000551727,ENST00000550189,ENST00000551446,ENST00000550881</t>
  </si>
  <si>
    <t>ENSP00000240055,ENSP00000447486,ENSP00000448250</t>
  </si>
  <si>
    <t>NM_198966,NM_198965,NM_198964,NM_002820</t>
  </si>
  <si>
    <t>NP_945317.1,NP_945316.1,NP_945315.1,NP_002811.1</t>
  </si>
  <si>
    <t>ENST00000545234,ENST00000539239,ENST00000538310,ENST00000535992,ENST00000395868,ENST00000542963,ENST00000534890,ENST00000395872,ENST00000201015</t>
  </si>
  <si>
    <t>ENSP00000441765,ENSP00000441571,ENSP00000441890,ENSP00000440613,ENSP00000379209,ENSP00000444519,ENSP00000445157,ENSP00000379213,ENSP00000201015</t>
  </si>
  <si>
    <t>NR_033699,NM_001185081,NM_001185075,NM_002024,NR_033700,NM_001185082,NM_001185076</t>
  </si>
  <si>
    <t>-,NP_001172010.1,NP_001172004.1,NP_002015.1,-,NP_001172011.1,NP_001172005.1</t>
  </si>
  <si>
    <t>ENST00000440235,ENST00000616614,ENST00000370477,ENST00000334557,ENST00000439526,ENST00000370475,ENST00000621447,ENST00000495717,ENST00000370470,ENST00000620828,ENST00000475038,ENST00000611273,ENST00000492846,ENST00000463120,ENST00000478848,ENST00000218200,ENST00000370471,ENST00000621987,ENST00000621453,ENST00000616382</t>
  </si>
  <si>
    <t>ENSP00000413764,ENSP00000480513,ENSP00000359508,ENSP00000355115,ENSP00000395923,ENSP00000359506,ENSP00000484324,ENSP00000481474,ENSP00000359501,ENSP00000480450,ENSP00000480886,ENSP00000218200,ENSP00000359502,ENSP00000477839,ENSP00000479528,ENSP00000481058</t>
  </si>
  <si>
    <t>ENST00000265713,ENST00000406337,ENST00000418721,ENST00000485568,ENST00000470574,ENST00000463961,ENST00000426524,ENST00000396930</t>
  </si>
  <si>
    <t>ENSP00000265713,ENSP00000385888,ENSP00000399638,ENSP00000430606,ENSP00000396699,ENSP00000380136</t>
  </si>
  <si>
    <t>ENST00000483519,ENST00000251722,ENST00000427112,ENST00000464956,ENST00000450940,ENST00000496298,ENST00000454354,ENST00000473191,ENST00000430158,ENST00000409945,ENST00000483216,ENST00000452724,ENST00000485943,ENST00000427947,ENST00000484528,ENST00000443711,ENST00000450966</t>
  </si>
  <si>
    <t>ENSP00000251722,ENSP00000387898,ENSP00000407696,ENSP00000394133,ENSP00000388121,ENSP00000386664,ENSP00000408853,ENSP00000394154,ENSP00000415434</t>
  </si>
  <si>
    <t>Homo sapiens keratin 8, type II (KRT8)</t>
  </si>
  <si>
    <t>NR_045962,NM_002273,NM_001256293,NM_001256282</t>
  </si>
  <si>
    <t>-,NP_002264.1,NP_001243222.1,NP_001243211.1</t>
  </si>
  <si>
    <t>ENST00000552551,ENST00000293308,ENST00000546583,ENST00000550170,ENST00000546897,ENST00000552150,ENST00000547031,ENST00000549176,ENST00000546826,ENST00000547176,ENST00000548998,ENST00000546900,ENST00000547413,ENST00000546542,ENST00000549198,ENST00000552877,ENST00000551318,ENST00000546921</t>
  </si>
  <si>
    <t>ENSP00000447566,ENSP00000293308,ENSP00000447402,ENSP00000449404,ENSP00000447881,ENSP00000449010,ENSP00000447040,ENSP00000450340,ENSP00000448681,ENSP00000450228</t>
  </si>
  <si>
    <t>NM_001143958,NM_018247</t>
  </si>
  <si>
    <t>NP_001137430.1,NP_060717.1</t>
  </si>
  <si>
    <t>ENST00000230461,ENST00000370050,ENST00000475111,ENST00000518161</t>
  </si>
  <si>
    <t>ENSP00000230461,ENSP00000359067,ENSP00000431007,ENSP00000430270</t>
  </si>
  <si>
    <t>ENST00000486436,ENST00000370869,ENST00000259782,ENST00000370864</t>
  </si>
  <si>
    <t>ENSP00000359906,ENSP00000259782,ENSP00000359901</t>
  </si>
  <si>
    <t>ENST00000505658,ENST00000508045,ENST00000508218,ENST00000506686,ENST00000509335,ENST00000504563,ENST00000393227,ENST00000240304,ENST00000505619,ENST00000508482,ENST00000510984,ENST00000507200,ENST00000513025,ENST00000507503,ENST00000511068,ENST00000504065,ENST00000509487,ENST00000511974,ENST00000513969,ENST00000503728,ENST00000512549,ENST00000503798,ENST00000625349</t>
  </si>
  <si>
    <t>ENSP00000425092,ENSP00000424788,ENSP00000426488,ENSP00000425251,ENSP00000424767,ENSP00000376919,ENSP00000240304,ENSP00000420933,ENSP00000421213,ENSP00000426123,ENSP00000423556,ENSP00000476198,ENSP00000426371,ENSP00000428293,ENSP00000428225,ENSP00000427927,ENSP00000430407,ENSP00000486238</t>
  </si>
  <si>
    <t>ENST00000524143,ENST00000220853,ENST00000517593,ENST00000517784,ENST00000519642,ENST00000520294,ENST00000519450</t>
  </si>
  <si>
    <t>ENSP00000430122,ENSP00000220853,ENSP00000428040</t>
  </si>
  <si>
    <t>ENST00000424032,ENST00000600321,ENST00000344085,ENST00000597976,ENST00000422689,ENST00000595099</t>
  </si>
  <si>
    <t>ENSP00000414470,ENSP00000471067,ENSP00000343625,ENSP00000471324,ENSP00000406318</t>
  </si>
  <si>
    <t>ENST00000294008,ENST00000466154,ENST00000486524</t>
  </si>
  <si>
    <t>ENST00000369162,ENST00000518006,ENST00000324696,ENST00000522650,ENST00000468245,ENST00000324723,ENST00000369143</t>
  </si>
  <si>
    <t>ENSP00000358159,ENSP00000320252,ENSP00000430769,ENSP00000320777,ENSP00000358139</t>
  </si>
  <si>
    <t>ENST00000368885,ENST00000451850,ENST00000368877,ENST00000368876,ENST00000612642,ENST00000619590,ENST00000465404,ENST00000368882,ENST00000610605</t>
  </si>
  <si>
    <t>ENSP00000357880,ENSP00000389988,ENSP00000357871,ENSP00000357870,ENSP00000433396,ENSP00000357877,ENSP00000483984</t>
  </si>
  <si>
    <t>ENST00000382247,ENST00000507768,ENST00000507731</t>
  </si>
  <si>
    <t>Homo sapiens glucuronidase, beta pseudogene 3 (GUSBP3)</t>
  </si>
  <si>
    <t>Homo sapiens BTAF1 RNA polymerase II, B-TFIID transcription factor-associated, 170kDa (BTAF1)</t>
  </si>
  <si>
    <t>ENST00000265990,ENST00000471217,ENST00000476401,ENST00000544642</t>
  </si>
  <si>
    <t>ENSP00000265990,ENSP00000439924</t>
  </si>
  <si>
    <t>Homo sapiens GA binding protein transcription factor, beta subunit 1 (GABPB1)</t>
  </si>
  <si>
    <t>NM_005254,NM_016654</t>
  </si>
  <si>
    <t>NP_005245.2,NP_057738.1</t>
  </si>
  <si>
    <t>Homo sapiens golgin A8 family, member A (GOLGA8A)|Homo sapiens golgin A8 family, member B (GOLGA8B)|Homo sapiens golgin A8 family, member F (GOLGA8F)</t>
  </si>
  <si>
    <t>NM_181077,NR_027409|NM_001023567,NR_027410|NR_033351</t>
  </si>
  <si>
    <t>NP_851422.1,-|NP_001018861.3,-|-</t>
  </si>
  <si>
    <t>ENST00000473125,ENST00000359187,ENST00000569781,ENST00000565885,ENST00000432566|ENST00000438958</t>
  </si>
  <si>
    <t>ENSP00000352111,ENSP00000402791|ENSP00000400063</t>
  </si>
  <si>
    <t>ENST00000280098,ENST00000430968,ENST00000420679,ENST00000467775</t>
  </si>
  <si>
    <t>ENSP00000280098,ENSP00000410201,ENSP00000396006</t>
  </si>
  <si>
    <t>NM_001007088,NM_006962,NM_001178099</t>
  </si>
  <si>
    <t>NP_001007089.1,NP_008893.1,NP_001171570.1</t>
  </si>
  <si>
    <t>ENST00000376943,ENST00000396965,ENST00000305127</t>
  </si>
  <si>
    <t>ENSP00000366142,ENSP00000380165,ENSP00000306351</t>
  </si>
  <si>
    <t>Homo sapiens TAF4b RNA polymerase II, TATA box binding protein (TBP)</t>
  </si>
  <si>
    <t>ENST00000269142,ENST00000578121,ENST00000418698,ENST00000400466</t>
  </si>
  <si>
    <t>ENSP00000269142,ENSP00000462980,ENSP00000389365,ENSP00000383314</t>
  </si>
  <si>
    <t>NM_018156,NM_015378</t>
  </si>
  <si>
    <t>NP_060626.2,NP_056193.2</t>
  </si>
  <si>
    <t>ENST00000620676,ENST00000613099,ENST00000476169,ENST00000489961,ENST00000011700,ENST00000460333,ENST00000487188,ENST00000469054,ENST00000543710,ENST00000466732,ENST00000476045,ENST00000481484,ENST00000543766,ENST00000473099</t>
  </si>
  <si>
    <t>ENSP00000478104,ENSP00000482233,ENSP00000011700,ENSP00000473375,ENSP00000441122</t>
  </si>
  <si>
    <t>NR_047518,NR_003716,NR_047517</t>
  </si>
  <si>
    <t>-,-,-</t>
  </si>
  <si>
    <t>ENST00000424518,ENST00000455246,ENST00000425595,ENST00000453875,ENST00000439545</t>
  </si>
  <si>
    <t>ENST00000480769,ENST00000367498,ENST00000459929,ENST00000475046,ENST00000494880,ENST00000468217,ENST00000491112,ENST00000422754,ENST00000367497</t>
  </si>
  <si>
    <t>ENSP00000356468,ENSP00000401826,ENSP00000356467</t>
  </si>
  <si>
    <t>Homo sapiens WAS protein homolog associated with actin, golgi membranes and microtubules pseudogene 3 (WHAMMP3)|Homo sapiens WAS protein homolog associated with actin, golgi membranes and microtubules pseudogene 2 (WHAMMP2)</t>
  </si>
  <si>
    <t>ENST00000280481,ENST00000482551</t>
  </si>
  <si>
    <t>ENST00000355739,ENST00000472151,ENST00000375958,ENST00000375954,ENST00000481099,ENST00000472247,ENST00000610537,ENST00000535557</t>
  </si>
  <si>
    <t>ENSP00000347978,ENSP00000436083,ENSP00000365121,ENSP00000478667,ENSP00000442117</t>
  </si>
  <si>
    <t>ENST00000416284,ENST00000551619,ENST00000550003,ENST00000549379,ENST00000551449,ENST00000552075,ENST00000549958,ENST00000548780,ENST00000549456,ENST00000547919,ENST00000550060,ENST00000548541,ENST00000500610,ENST00000547075,ENST00000547941,ENST00000550396</t>
  </si>
  <si>
    <t>ENSP00000393987,ENSP00000447305,ENSP00000449457,ENSP00000447584,ENSP00000449632,ENSP00000449516,ENSP00000447280,ENSP00000449310</t>
  </si>
  <si>
    <t>ENST00000288861,ENST00000403670,ENST00000405346</t>
  </si>
  <si>
    <t>ENST00000322937,ENST00000449493,ENST00000613447</t>
  </si>
  <si>
    <t>ENSP00000313809,ENSP00000391234,ENSP00000479096</t>
  </si>
  <si>
    <t>Homo sapiens zinc finger protein 37B, pseudogene (ZNF37BP)|Homo sapiens zinc finger protein 37A (ZNF37A)</t>
  </si>
  <si>
    <t>NR_026777|NM_001007094,NM_003421,NM_001178101</t>
  </si>
  <si>
    <t>-|NP_001007095.1,NP_003412.1,NP_001171572.1</t>
  </si>
  <si>
    <t>ENST00000452075,ENST00000452306,ENST00000435805,ENST00000473592|ENST00000498773,ENST00000361085,ENST00000479469,ENST00000477790,ENST00000351773</t>
  </si>
  <si>
    <t>|ENSP00000354377,ENSP00000329141</t>
  </si>
  <si>
    <t>ENST00000456936,ENST00000503010,ENST00000508420</t>
  </si>
  <si>
    <t>ENSP00000405926,ENSP00000450928</t>
  </si>
  <si>
    <t>NM_001142772,NM_001142771</t>
  </si>
  <si>
    <t>NP_001136244.1,NP_001136243.1</t>
  </si>
  <si>
    <t>ENST00000373965,ENST00000616114,ENST00000621708,ENST00000495484,ENST00000618301,ENST00000476074,ENST00000395442,ENST00000395440,ENST00000617271,ENST00000395446,ENST00000409834,ENST00000414367,ENST00000613657,ENST00000615043,ENST00000395445,ENST00000361849,ENST00000395430,ENST00000395433,ENST00000373956,ENST00000373957,ENST00000448885,ENST00000437009,ENST00000463095,ENST00000320301,ENST00000373955,ENST00000613346,ENST00000458638,ENST00000395432,ENST00000617051,ENST00000614895,ENST00000622048,ENST00000414778,ENST00000395438,ENST00000612394</t>
  </si>
  <si>
    <t>ENSP00000363076,ENSP00000483745,ENSP00000484454,ENSP00000480780,ENSP00000482780,ENSP00000378829,ENSP00000378827,ENSP00000478076,ENSP00000378833,ENSP00000386693,ENSP00000412531,ENSP00000482794,ENSP00000478551,ENSP00000378832,ENSP00000354950,ENSP00000378818,ENSP00000378821,ENSP00000363067,ENSP00000363068,ENSP00000412320,ENSP00000412628,ENSP00000322604,ENSP00000363066,ENSP00000481211,ENSP00000394465,ENSP00000378820,ENSP00000484703,ENSP00000478512,ENSP00000482329,ENSP00000410304,ENSP00000378826,ENSP00000482921</t>
  </si>
  <si>
    <t>NM_017548,NM_001134423,NM_001134422</t>
  </si>
  <si>
    <t>NP_060018.1,NP_001127895.1,NP_001127894.1</t>
  </si>
  <si>
    <t>ENST00000264993,ENST00000431519,ENST00000503932,ENST00000508481,ENST00000420115,ENST00000504867,ENST00000507408,ENST00000511392,ENST00000515421</t>
  </si>
  <si>
    <t>ENSP00000264993,ENSP00000391955,ENSP00000421340,ENSP00000422866,ENSP00000413272,ENSP00000423349,ENSP00000424742,ENSP00000425297,ENSP00000421495</t>
  </si>
  <si>
    <t>ENST00000354817,ENST00000532701,ENST00000532769,ENST00000524933,ENST00000527202,ENST00000532502</t>
  </si>
  <si>
    <t>ENSP00000346874,ENSP00000437111,ENSP00000434624</t>
  </si>
  <si>
    <t>NM_001009960,NM_001085368,NM_001083956,NM_138494</t>
  </si>
  <si>
    <t>NP_001009960.1,NP_001078837.1,NP_001077425.1,NP_612503.1</t>
  </si>
  <si>
    <t>ENST00000320583,ENST00000467680,ENST00000489320,ENST00000452314,ENST00000416144,ENST00000252713,ENST00000454654,ENST00000412636,ENST00000423973,ENST00000449244,ENST00000493947,ENST00000425063,ENST00000493277,ENST00000422422,ENST00000488751,ENST00000422164,ENST00000422647,ENST00000427931,ENST00000440391,ENST00000394163,ENST00000494357,ENST00000419215,ENST00000357864,ENST00000424881,ENST00000626122</t>
  </si>
  <si>
    <t>ENSP00000322363,ENSP00000398872,ENSP00000414007,ENSP00000252713,ENSP00000403500,ENSP00000408555,ENSP00000395799,ENSP00000414969,ENSP00000392980,ENSP00000419135,ENSP00000390295,ENSP00000389260,ENSP00000393750,ENSP00000392244,ENSP00000396396,ENSP00000377718,ENSP00000350530,ENSP00000393876,ENSP00000486262</t>
  </si>
  <si>
    <t>NM_018183,NM_001167856</t>
  </si>
  <si>
    <t>NP_060653.3,NP_001161328.1</t>
  </si>
  <si>
    <t>ENST00000267176,ENST00000602398,ENST00000420886</t>
  </si>
  <si>
    <t>ENSP00000267176,ENSP00000473665,ENSP00000387361</t>
  </si>
  <si>
    <t>Homo sapiens pleckstrin homology domain containing, family A member 8 pseudogene 1 (PLEKHA8P1)</t>
  </si>
  <si>
    <t>ENST00000256692,ENST00000336399,ENST00000550498,ENST00000545609</t>
  </si>
  <si>
    <t>Homo sapiens splicing factor 3b, subunit 1, 155kDa (SF3B1)</t>
  </si>
  <si>
    <t>ENST00000335508,ENST00000479532,ENST00000424674,ENST00000496458,ENST00000462613,ENST00000468925,ENST00000470268,ENST00000482158,ENST00000409915,ENST00000487698,ENST00000414963,ENST00000414174</t>
  </si>
  <si>
    <t>ENSP00000335321,ENSP00000409435,ENSP00000428820,ENSP00000419896,ENSP00000402997,ENSP00000392117</t>
  </si>
  <si>
    <t>NM_213651,NM_013386</t>
  </si>
  <si>
    <t>NP_998816.1,NP_037518.3</t>
  </si>
  <si>
    <t>ENST00000565488,ENST00000264128,ENST00000370041,ENST00000569674</t>
  </si>
  <si>
    <t>ENSP00000457733,ENSP00000264128,ENSP00000359058,ENSP00000454393</t>
  </si>
  <si>
    <t>Homo sapiens ATPase, Ca++ transporting, plasma membrane 4 (ATP2B4)</t>
  </si>
  <si>
    <t>NM_001684,NM_001001396</t>
  </si>
  <si>
    <t>NP_001675.3,NP_001001396.1</t>
  </si>
  <si>
    <t>ENST00000357681,ENST00000341360,ENST00000458092,ENST00000466407,ENST00000356729,ENST00000484746,ENST00000367218</t>
  </si>
  <si>
    <t>ENSP00000350310,ENSP00000340930,ENSP00000391150,ENSP00000349165,ENSP00000433577,ENSP00000356187</t>
  </si>
  <si>
    <t>Homo sapiens SPT2, Suppressor of Ty, domain containing 1 (S. cerevisiae)</t>
  </si>
  <si>
    <t>ENST00000336349,ENST00000536336,ENST00000543776</t>
  </si>
  <si>
    <t>Homo sapiens golgin A8 family, member B (GOLGA8B)|Homo sapiens golgin A8 family, member A (GOLGA8A)</t>
  </si>
  <si>
    <t>NM_001023567,NR_027410|NM_181077,NR_027409</t>
  </si>
  <si>
    <t>NP_001018861.3,-|NP_851422.1,-</t>
  </si>
  <si>
    <t>ENST00000438958|ENST00000473125,ENST00000359187,ENST00000569781,ENST00000565885,ENST00000432566</t>
  </si>
  <si>
    <t>ENSP00000400063|ENSP00000352111,ENSP00000402791</t>
  </si>
  <si>
    <t>NM_001012754,NM_001017370,NR_073109</t>
  </si>
  <si>
    <t>NP_001012772.1,NP_001017370.1,-</t>
  </si>
  <si>
    <t>ENST00000473371,ENST00000470258,ENST00000379600,ENST00000379599,ENST00000485407,ENST00000610563</t>
  </si>
  <si>
    <t>ENSP00000418127,ENSP00000368920,ENSP00000368919,ENSP00000484853</t>
  </si>
  <si>
    <t>NM_001190839,NM_000900</t>
  </si>
  <si>
    <t>NP_001177768.1,NP_000891.2</t>
  </si>
  <si>
    <t>ENST00000539261,ENST00000545199,ENST00000228938,ENST00000507170</t>
  </si>
  <si>
    <t>ENSP00000445907,ENSP00000445436,ENSP00000228938</t>
  </si>
  <si>
    <t>ENST00000284320,ENST00000483945,ENST00000492171</t>
  </si>
  <si>
    <t>NM_001190822,NM_001190821,NM_005904,NM_001190823</t>
  </si>
  <si>
    <t>NP_001177751.1,NP_001177750.1,NP_005895.1,NP_001177752.1</t>
  </si>
  <si>
    <t>ENST00000262158,ENST00000545051,ENST00000591805,ENST00000589634,ENST00000587336,ENST00000585986,ENST00000586093,ENST00000588190</t>
  </si>
  <si>
    <t>ENSP00000262158,ENSP00000466902,ENSP00000467621,ENSP00000465590</t>
  </si>
  <si>
    <t>NM_001143787,NM_016488</t>
  </si>
  <si>
    <t>NP_001137259.1,NP_057572.5</t>
  </si>
  <si>
    <t>ENST00000549190,ENST00000395580,ENST00000337898,ENST00000358314,ENST00000549774,ENST00000551723,ENST00000552429,ENST00000395568,ENST00000256678,ENST00000449194,ENST00000552761,ENST00000551406,ENST00000317560,ENST00000552202,ENST00000432191,ENST00000550535,ENST00000546750,ENST00000547847,ENST00000551658,ENST00000552794,ENST00000547696,ENST00000547440,ENST00000624028,ENST00000619544,ENST00000610488,ENST00000613154</t>
  </si>
  <si>
    <t>ENSP00000447168,ENSP00000378947,ENSP00000338510,ENSP00000351066,ENSP00000450346,ENSP00000448645,ENSP00000378935,ENSP00000256678,ENSP00000390681,ENSP00000449331,ENSP00000322048,ENSP00000393965,ENSP00000450274,ENSP00000449772,ENSP00000449031,ENSP00000477681,ENSP00000479913,ENSP00000478872</t>
  </si>
  <si>
    <t>NM_001166695,NM_004172</t>
  </si>
  <si>
    <t>NP_001160167.1,NP_004163.3</t>
  </si>
  <si>
    <t>ENST00000265113,ENST00000513903,ENST00000504121,ENST00000512374,ENST00000416645,ENST00000506725,ENST00000505202,ENST00000513646,ENST00000502864,ENST00000514563,ENST00000509272,ENST00000505376,ENST00000506178,ENST00000612708,ENST00000381918,ENST00000613445</t>
  </si>
  <si>
    <t>ENSP00000265113,ENSP00000427203,ENSP00000424986,ENSP00000420992,ENSP00000483657,ENSP00000371343,ENSP00000477672</t>
  </si>
  <si>
    <t>Homo sapiens SPANX family, member D (SPANXD)|Homo sapiens SPANX family, member A2 (SPANXA2)|Homo sapiens sperm protein associated with the nucleus, X-linked, family member A1 (SPANXA1)|Homo sapiens SPANX family, member B1 (SPANXB1)|Homo sapiens SPANX family, member C (SPANXC)</t>
  </si>
  <si>
    <t>ENST00000370515|ENST00000370518|ENST00000370519,ENST00000615379|ENST00000449283|ENST00000358993</t>
  </si>
  <si>
    <t>ENSP00000359546|ENSP00000359549|ENSP00000359550,ENSP00000484283|ENSP00000405202|ENSP00000351884</t>
  </si>
  <si>
    <t>ENST00000576258,ENST00000564528,ENST00000393539,ENST00000497160,ENST00000357254,ENST00000358700,ENST00000539742,ENST00000565718,ENST00000567340,ENST00000564588,ENST00000428724</t>
  </si>
  <si>
    <t>ENSP00000462429,ENSP00000377171,ENSP00000456683,ENSP00000349796,ENSP00000351535,ENSP00000454326,ENSP00000455280,ENSP00000387673</t>
  </si>
  <si>
    <t>Homo sapiens eukaryotic translation initiation factor 2A, 65kDa (EIF2A)</t>
  </si>
  <si>
    <t>ENST00000463863,ENST00000487799,ENST00000460851,ENST00000473499,ENST00000494558,ENST00000474505,ENST00000406576,ENST00000482093,ENST00000469331,ENST00000273435,ENST00000490505,ENST00000462221,ENST00000477551,ENST00000472926,ENST00000465535,ENST00000482471</t>
  </si>
  <si>
    <t>ENSP00000420537,ENSP00000417229,ENSP00000419456,ENSP00000385292,ENSP00000418698,ENSP00000273435,ENSP00000417575,ENSP00000420495,ENSP00000420493,ENSP00000420611</t>
  </si>
  <si>
    <t>Homo sapiens synemin, intermediate filament protein (SYNM)</t>
  </si>
  <si>
    <t>NM_145728,NM_015286</t>
  </si>
  <si>
    <t>NP_663780.2,NP_056101.5</t>
  </si>
  <si>
    <t>ENST00000560674,ENST00000336292,ENST00000328642,ENST00000594047</t>
  </si>
  <si>
    <t>ENSP00000453040,ENSP00000336775,ENSP00000330469,ENSP00000472953</t>
  </si>
  <si>
    <t>NM_001005340,NM_002510</t>
  </si>
  <si>
    <t>NP_001005340.1,NP_002501.1</t>
  </si>
  <si>
    <t>ENST00000465673,ENST00000492858,ENST00000258733,ENST00000381990,ENST00000409458,ENST00000459927,ENST00000487890,ENST00000474157,ENST00000492512,ENST00000479625,ENST00000470994,ENST00000463011,ENST00000478451,ENST00000468723</t>
  </si>
  <si>
    <t>ENSP00000258733,ENSP00000371420,ENSP00000386476</t>
  </si>
  <si>
    <t>ENST00000395468,ENST00000554364,ENST00000556515,ENST00000553976,ENST00000622254</t>
  </si>
  <si>
    <t>ENSP00000378851,ENSP00000481882</t>
  </si>
  <si>
    <t>NM_001001556,NM_002044</t>
  </si>
  <si>
    <t>NP_001001556.1,NP_002035.1</t>
  </si>
  <si>
    <t>ENST00000559883,ENST00000559963,ENST00000327171,ENST00000560654,ENST00000558775,ENST00000561074,ENST00000559040,ENST00000560031,ENST00000396509,ENST00000558956,ENST00000559208,ENST00000559095,ENST00000558145,ENST00000560119,ENST00000544523,ENST00000560138,ENST00000559423,ENST00000559454,ENST00000561014,ENST00000558399,ENST00000559580,ENST00000560528</t>
  </si>
  <si>
    <t>ENSP00000453193,ENSP00000453457,ENSP00000316632,ENSP00000453961,ENSP00000453849,ENSP00000453241,ENSP00000453129,ENSP00000379766,ENSP00000452679,ENSP00000453844,ENSP00000454123,ENSP00000453909,ENSP00000440312,ENSP00000452614,ENSP00000453652,ENSP00000453133,ENSP00000453252,ENSP00000453257,ENSP00000452637</t>
  </si>
  <si>
    <t>ENST00000217074,ENST00000217073,ENST00000481196,ENST00000490798,ENST00000476056,ENST00000372824,ENST00000372819,ENST00000217075,ENST00000479873,ENST00000465761,ENST00000372826,ENST00000474208,ENST00000489068,ENST00000372822,ENST00000482486,ENST00000255136,ENST00000537323</t>
  </si>
  <si>
    <t>ENSP00000217074,ENSP00000217073,ENSP00000361911,ENSP00000361906,ENSP00000217075,ENSP00000432620,ENSP00000361913,ENSP00000361909,ENSP00000255136,ENSP00000445661</t>
  </si>
  <si>
    <t>NM_175868,NM_005363|NM_005362|NM_001166387,NM_001166386,NM_005367|NM_175743,NM_175742,NM_005361|NM_153488|NM_001204811|NM_021049</t>
  </si>
  <si>
    <t>NP_787064.1,NP_005354.1|NP_005353.1|NP_001159859.1,NP_001159858.1,NP_005358.2|NP_786885.1,NP_786884.1,NP_005352.1|NP_705692.1|NP_001191740.1|NP_066387.1</t>
  </si>
  <si>
    <t>ENST00000329342,ENST00000457643,ENST00000412733,ENST00000616035|ENST00000370278,ENST00000417212,ENST00000598245|ENST00000357916,ENST00000393869,ENST00000393900|ENST00000611557|ENST00000611557</t>
  </si>
  <si>
    <t>ENSP00000329199,ENSP00000401806,ENSP00000403303,ENSP00000480637|ENSP00000359301,ENSP00000392758,ENSP00000473093|ENSP00000350592,ENSP00000377447,ENSP00000377478|ENSP00000480738|ENSP00000480738</t>
  </si>
  <si>
    <t>NR_046260,NR_046259,NR_046258</t>
  </si>
  <si>
    <t>Homo sapiens chondrosarcoma associated gene 1 (CSAG1)|Homo sapiens CSAG family, member 3 (CSAG3)</t>
  </si>
  <si>
    <t>NM_001102576,NM_153478|NM_001129828,NM_001129826</t>
  </si>
  <si>
    <t>NP_001096046.2,NP_705611.2|NP_001123300.1,NP_001123298.1</t>
  </si>
  <si>
    <t>ENST00000370291,ENST00000361211,ENST00000370287,ENST00000452779|ENST00000617158,ENST00000599845</t>
  </si>
  <si>
    <t>ENSP00000359314,ENSP00000354898,ENSP00000359310,ENSP00000396520|</t>
  </si>
  <si>
    <t>ENST00000378119,ENST00000378102</t>
  </si>
  <si>
    <t>ENSP00000367359,ENSP00000367342</t>
  </si>
  <si>
    <t>NM_023012,NR_036435,NR_036436,NR_036434</t>
  </si>
  <si>
    <t>NP_075388.2,-,-,-</t>
  </si>
  <si>
    <t>ENST00000331738,ENST00000433877,ENST00000532695,ENST00000527173,ENST00000392442,ENST00000525332,ENST00000531389,ENST00000525335,ENST00000344591,ENST00000528263,ENST00000527399,ENST00000524399,ENST00000527796,ENST00000526560,ENST00000527461,ENST00000531639,ENST00000532186,ENST00000525387,ENST00000528279,ENST00000525570</t>
  </si>
  <si>
    <t>ENSP00000330188,ENSP00000412148,ENSP00000436515,ENSP00000343315,ENSP00000444159,ENSP00000432725,ENSP00000446470,ENSP00000445664</t>
  </si>
  <si>
    <t>Homo sapiens pyruvate dehydrogenase kinase, isozyme 1 (PDK1)</t>
  </si>
  <si>
    <t>ENST00000443353,ENST00000436490,ENST00000282077,ENST00000392571,ENST00000410055,ENST00000431718,ENST00000416991,ENST00000439519,ENST00000466437</t>
  </si>
  <si>
    <t>ENSP00000399558,ENSP00000406608,ENSP00000282077,ENSP00000376352,ENSP00000386985,ENSP00000413629,ENSP00000399160,ENSP00000388366</t>
  </si>
  <si>
    <t>Homo sapiens family with sequence similarity 3, member C (FAM3C)</t>
  </si>
  <si>
    <t>NM_001040020,NM_014888</t>
  </si>
  <si>
    <t>NP_001035109.1,NP_055703.1</t>
  </si>
  <si>
    <t>ENST00000359943,ENST00000474082,ENST00000412653,ENST00000426156,ENST00000497622</t>
  </si>
  <si>
    <t>ENSP00000353025,ENSP00000408636,ENSP00000414940</t>
  </si>
  <si>
    <t>NM_001165136,NM_017912</t>
  </si>
  <si>
    <t>NP_001158608.1,NP_060382.3</t>
  </si>
  <si>
    <t>ENST00000380265,ENST00000264346,ENST00000504905,ENST00000506714,ENST00000502870,ENST00000515365,ENST00000506842,ENST00000273960</t>
  </si>
  <si>
    <t>ENSP00000369617,ENSP00000264346,ENSP00000425504,ENSP00000425060,ENSP00000273960</t>
  </si>
  <si>
    <t>ENST00000380221,ENST00000291574,ENST00000422875,ENST00000481460,ENST00000461889,ENST00000459741,ENST00000465905,ENST00000483973,ENST00000486746,ENST00000469521,ENST00000485621,ENST00000468864</t>
  </si>
  <si>
    <t>ENSP00000369570,ENSP00000291574,ENSP00000402221</t>
  </si>
  <si>
    <t>Homo sapiens sarcoglycan, beta (43kDa dystrophin-associated glycoprotein)</t>
  </si>
  <si>
    <t>ENST00000381431,ENST00000506357,ENST00000514133</t>
  </si>
  <si>
    <t>ENSP00000370839,ENSP00000421235,ENSP00000425818</t>
  </si>
  <si>
    <t>NR_073584|NM_016338,NM_001134779</t>
  </si>
  <si>
    <t>-|NP_057422.3,NP_001128251.1</t>
  </si>
  <si>
    <t>ENST00000514647,ENST00000424533,ENST00000505902,ENST00000325324,ENST00000506200,ENST00000409296,ENST00000506905,ENST00000507640,ENST00000502862,ENST00000511713,ENST00000511133,ENST00000413749,ENST00000409534,ENST00000512177</t>
  </si>
  <si>
    <t>ENSP00000427129,ENSP00000395685,ENSP00000425573,ENSP00000316651,ENSP00000427274,ENSP00000386992,ENSP00000421517,ENSP00000398230,ENSP00000387039</t>
  </si>
  <si>
    <t>ENST00000555122,ENST00000557457,ENST00000333244,ENST00000555544</t>
  </si>
  <si>
    <t>ENSP00000450998,ENSP00000353114</t>
  </si>
  <si>
    <t>ENST00000367807,ENST00000367808,ENST00000329281,ENST00000420531,ENST00000426663</t>
  </si>
  <si>
    <t>ENSP00000356781,ENSP00000356782,ENSP00000327541,ENSP00000414668,ENSP00000404408</t>
  </si>
  <si>
    <t>ENST00000338205,ENST00000374383,ENST00000465499,ENST00000602447,ENST00000602978,ENST00000259335</t>
  </si>
  <si>
    <t>ENSP00000339889,ENSP00000363504,ENSP00000473399,ENSP00000473402,ENSP00000259335</t>
  </si>
  <si>
    <t>ENST00000261531,ENST00000554775,ENST00000556428,ENST00000555761,ENST00000553565,ENST00000554324,ENST00000557663</t>
  </si>
  <si>
    <t>ENSP00000261531,ENSP00000452059,ENSP00000451741,ENSP00000451129,ENSP00000452473</t>
  </si>
  <si>
    <t>Homo sapiens family with sequence similarity 177, member B (FAM177B)</t>
  </si>
  <si>
    <t>ENST00000434700,ENST00000391880,ENST00000360827,ENST00000460763,ENST00000456298,ENST00000445590</t>
  </si>
  <si>
    <t>ENSP00000391615,ENSP00000375752,ENSP00000354070,ENSP00000400233,ENSP00000414451</t>
  </si>
  <si>
    <t>NM_001008493,NM_018212</t>
  </si>
  <si>
    <t>NP_001008493.1,NP_060682.2</t>
  </si>
  <si>
    <t>ENST00000366844,ENST00000358675,ENST00000366843,ENST00000498108,ENST00000483952,ENST00000612656,ENST00000497899,ENST00000391874,ENST00000284563</t>
  </si>
  <si>
    <t>ENSP00000355809,ENSP00000355808,ENSP00000284563</t>
  </si>
  <si>
    <t>ENST00000221086,ENST00000530200,ENST00000526292,ENST00000528389</t>
  </si>
  <si>
    <t>ENSP00000221086,ENSP00000436046,ENSP00000433239</t>
  </si>
  <si>
    <t>Homo sapiens neuroblastoma breakpoint family, member 14 (NBPF14)</t>
  </si>
  <si>
    <t>Homo sapiens family with sequence similarity 35, member A (FAM35A)</t>
  </si>
  <si>
    <t>ENST00000437629,ENST00000298784,ENST00000298786</t>
  </si>
  <si>
    <t>ENSP00000475647,ENSP00000298784,ENSP00000298786</t>
  </si>
  <si>
    <t>Homo sapiens striatin, calmodulin binding protein (STRN)</t>
  </si>
  <si>
    <t>ENST00000263918,ENST00000495595,ENST00000379213</t>
  </si>
  <si>
    <t>ENSP00000263918,ENSP00000368513</t>
  </si>
  <si>
    <t>Homo sapiens neuroblastoma breakpoint family, member 15 (NBPF15)|Homo sapiens neuroblastoma breakpoint family, member 3 (NBPF3)|Homo sapiens neuroblastoma breakpoint family, member 11 (NBPF11)|Homo sapiens neuroblastoma breakpoint family, member 14 (NBPF14)|Homo sapiens neuroblastoma breakpoint family, member 22, pseudogene (NBPF22P)</t>
  </si>
  <si>
    <t>NM_001170755,NM_173638|NM_032264,NM_001256417,NM_001256416,NR_046176|NM_183372|NM_015383|NR_003719</t>
  </si>
  <si>
    <t>NP_001164226.1,NP_775909.2|NP_115640.1,NP_001243346.1,NP_001243345.1,-|NP_899228.4|NP_056198.2|-</t>
  </si>
  <si>
    <t>ENST00000488031,ENST00000584793,ENST00000579734,ENST00000478419,ENST00000584575,ENST00000578953,ENST00000581897,ENST00000577412|ENST00000454000,ENST00000475869,ENST00000318220,ENST00000478653,ENST00000485941,ENST00000342104,ENST00000486229,ENST00000318249,ENST00000434838,ENST00000467103,ENST00000469876,ENST00000477050,ENST00000619554|ENST00000614506,ENST00000615281,ENST00000613531,ENST00000614015,ENST00000614785,ENST00000580077|ENST00000611826</t>
  </si>
  <si>
    <t>ENSP00000481835,ENSP00000463178,ENSP00000462600|ENSP00000415711,ENSP00000316739,ENSP00000340336,ENSP00000478530,ENSP00000316782,ENSP00000391865,ENSP00000479028,ENSP00000484028|ENSP00000478618,ENSP00000477509,ENSP00000477874,ENSP00000484213,ENSP00000479429,ENSP00000463391|ENSP00000479380</t>
  </si>
  <si>
    <t>Homo sapiens protein kinase C, iota (PRKCI)</t>
  </si>
  <si>
    <t>ENST00000295797,ENST00000488541,ENST00000493761,ENST00000482353,ENST00000476635,ENST00000485837,ENST00000483697</t>
  </si>
  <si>
    <t>Homo sapiens zinc finger protein 271, pseudogene (ZNF271P)</t>
  </si>
  <si>
    <t>NR_024565,NR_024566</t>
  </si>
  <si>
    <t>ENST00000399070,ENST00000465539</t>
  </si>
  <si>
    <t>Homo sapiens neuroblastoma breakpoint family, member 15 (NBPF15)|Homo sapiens neuroblastoma breakpoint family, member 14 (NBPF14)|Homo sapiens neuroblastoma breakpoint family, member 11 (NBPF11)</t>
  </si>
  <si>
    <t>NM_001170755,NM_173638|NM_015383|NM_183372</t>
  </si>
  <si>
    <t>NP_001164226.1,NP_775909.2|NP_056198.2|NP_899228.4</t>
  </si>
  <si>
    <t>ENST00000488031,ENST00000584793,ENST00000579734,ENST00000478419,ENST00000584575,ENST00000578953,ENST00000581897,ENST00000577412|ENST00000611826|ENST00000614506,ENST00000615281,ENST00000613531,ENST00000614015,ENST00000614785,ENST00000580077</t>
  </si>
  <si>
    <t>ENSP00000481835,ENSP00000463178,ENSP00000462600|ENSP00000479380|ENSP00000478618,ENSP00000477509,ENSP00000477874,ENSP00000484213,ENSP00000479429,ENSP00000463391</t>
  </si>
  <si>
    <t>ENST00000288670,ENST00000492942,ENST00000475377,ENST00000497192</t>
  </si>
  <si>
    <t>ENSP00000288670,ENSP00000418959</t>
  </si>
  <si>
    <t>Homo sapiens golgin A6 family-like 9 (GOLGA6L9)|Homo sapiens golgin A6 family-like 10 (GOLGA6L10)|Homo sapiens golgin A6 family-like 4 (GOLGA6L4)|Homo sapiens golgin A6 family, member C (GOLGA6C)|Homo sapiens golgin A8 family, member S (GOLGA8S)</t>
  </si>
  <si>
    <t>ENST00000632461,ENST00000620574,ENST00000632907|ENST00000633133,ENST00000632087,ENST00000611944|ENST00000510439,ENST00000512109,ENST00000515814,ENST00000379674,ENST00000422563|ENST00000300576</t>
  </si>
  <si>
    <t>ENSP00000479589|ENSP00000487759,ENSP00000478445|ENSP00000421586,ENSP00000426395,ENSP00000389305|ENSP00000300576</t>
  </si>
  <si>
    <t>NM_153207,NM_001267043,NM_001114176</t>
  </si>
  <si>
    <t>NP_694939.2,NP_001253972.1,NP_001107648.1</t>
  </si>
  <si>
    <t>ENST00000538425,ENST00000541908,ENST00000398864,ENST00000266508,ENST00000360995,ENST00000512223,ENST00000398731</t>
  </si>
  <si>
    <t>ENSP00000444255,ENSP00000437983,ENSP00000381840,ENSP00000266508,ENSP00000354267,ENSP00000445587,ENSP00000381715</t>
  </si>
  <si>
    <t>Homo sapiens golgin A8 family, member S (GOLGA8S)|Homo sapiens golgin A8 family, member E, pseudogene (GOLGA8EP)|Homo sapiens golgin A8 family, member C, pseudogene (GOLGA8CP)|Homo sapiens golgin A8 family, member D, pseudogene (GOLGA8DP)|Homo sapiens golgin A8 family, member G (GOLGA8G)</t>
  </si>
  <si>
    <t>ENST00000446144|ENST00000446144|ENST00000620011,ENST00000530246|ENST00000382949,ENST00000562627,ENST00000524859,ENST00000569308,ENST00000525590,ENST00000561497,ENST00000570018,ENST00000568534</t>
  </si>
  <si>
    <t>ENST00000610928,ENST00000432094,ENST00000613950,ENST00000334095,ENST00000454407|ENST00000489408,ENST00000360311|ENST00000595646,ENST00000243639,ENST00000597924,ENST00000601847,ENST00000602144,ENST00000601980,ENST00000396409|ENST00000504146,ENST00000504235,ENST00000396408,ENST00000507045,ENST00000505866,ENST00000594030,ENST00000594627,ENST00000596086</t>
  </si>
  <si>
    <t>ENSP00000481316,ENSP00000480218,ENSP00000481271,ENSP00000482214,ENSP00000481272|ENSP00000373274|ENSP00000470381,ENSP00000243639,ENSP00000469779,ENSP00000470717,ENSP00000471675,ENSP00000469733,ENSP00000379690|ENSP00000424395,ENSP00000379689,ENSP00000425657,ENSP00000421579,ENSP00000470468</t>
  </si>
  <si>
    <t>Homo sapiens non-SMC condensin I complex, subunit G (NCAPG)</t>
  </si>
  <si>
    <t>NM_022346,NR_073124</t>
  </si>
  <si>
    <t>NP_071741.2,-</t>
  </si>
  <si>
    <t>ENST00000251496,ENST00000514176,ENST00000513226,ENST00000509719,ENST00000510063</t>
  </si>
  <si>
    <t>ENSP00000251496,ENSP00000423042,ENSP00000425625</t>
  </si>
  <si>
    <t>ENST00000543476,ENST00000375266,ENST00000240651,ENST00000544970,ENST00000538582,ENST00000538072,ENST00000544187,ENST00000536851,ENST00000538615</t>
  </si>
  <si>
    <t>ENSP00000440192,ENSP00000364415,ENSP00000240651,ENSP00000439106,ENSP00000438505,ENSP00000444800</t>
  </si>
  <si>
    <t>Homo sapiens inhibitor of growth family, X-linked, pseudogene (INGX)</t>
  </si>
  <si>
    <t>ENST00000489074,ENST00000359239</t>
  </si>
  <si>
    <t>ENST00000339282,ENST00000427105,ENST00000596193,ENST00000416136,ENST00000465410</t>
  </si>
  <si>
    <t>ENSP00000340004,ENSP00000415828,ENSP00000470670,ENSP00000408822</t>
  </si>
  <si>
    <t>Homo sapiens apolipoprotein B mRNA editing enzyme, catalytic polypeptide-like 3A (APOBEC3A)|Homo sapiens leukocyte-associated immunoglobulin-like receptor 1 (LAIR1)</t>
  </si>
  <si>
    <t>NM_145699,NM_001270406|NM_002287,NM_021706</t>
  </si>
  <si>
    <t>NP_663745.1,NP_001257335.1|NP_002278.2,NP_068352.2</t>
  </si>
  <si>
    <t>ENST00000570508|ENST00000619717,ENST00000618291,ENST00000620531,ENST00000620077,ENST00000610549,ENST00000313038,ENST00000613763,ENST00000619016,ENST00000612909,ENST00000620661,ENST00000619165,ENST00000612279,ENST00000618524,ENST00000616562,ENST00000621335,ENST00000617129,ENST00000614880,ENST00000617370,ENST00000610771,ENST00000611788,ENST00000622041,ENST00000614392,ENST00000612215</t>
  </si>
  <si>
    <t>ENSP00000461288|ENSP00000479707,ENSP00000479294,ENSP00000482922,ENSP00000481204,ENSP00000319204,ENSP00000478951,ENSP00000478770,ENSP00000483342,ENSP00000478330,ENSP00000482572</t>
  </si>
  <si>
    <t>NM_003642,NR_027862</t>
  </si>
  <si>
    <t>NP_003633.1,-</t>
  </si>
  <si>
    <t>ENST00000412731,ENST00000460481,ENST00000457761,ENST00000264108,ENST00000494601,ENST00000392584</t>
  </si>
  <si>
    <t>ENSP00000407921,ENSP00000403466,ENSP00000264108</t>
  </si>
  <si>
    <t>NM_001006614,NM_016303,NM_001006613,NM_001006612</t>
  </si>
  <si>
    <t>NP_001006615.1,NP_057387.1,NP_001006614.1,NP_001006613.1</t>
  </si>
  <si>
    <t>ENST00000372661,ENST00000372656</t>
  </si>
  <si>
    <t>ENSP00000361745,ENSP00000361740</t>
  </si>
  <si>
    <t>ENST00000380985,ENST00000502464,ENST00000514991,ENST00000506539,ENST00000506799,ENST00000506677,ENST00000511299,ENST00000509935,ENST00000507201,ENST00000515595</t>
  </si>
  <si>
    <t>ENSP00000370372,ENSP00000423214,ENSP00000422822,ENSP00000427417,ENSP00000426959</t>
  </si>
  <si>
    <t>ENST00000243346,ENST00000491771,ENST00000414946,ENST00000477072</t>
  </si>
  <si>
    <t>ENSP00000243346,ENSP00000387373</t>
  </si>
  <si>
    <t>ENST00000549687,ENST00000548392,ENST00000550067,ENST00000360820,ENST00000549486,ENST00000550251,ENST00000553148,ENST00000548871,ENST00000547202,ENST00000547735</t>
  </si>
  <si>
    <t>ENSP00000448366,ENSP00000450294,ENSP00000354061,ENSP00000449567,ENSP00000448400</t>
  </si>
  <si>
    <t>Homo sapiens aldo-keto reductase family 1, member C3 (AKR1C3)|Homo sapiens aldo-keto reductase family 1, member C1 (AKR1C1)</t>
  </si>
  <si>
    <t>NM_001253909,NM_001253908,NM_003739|NM_001353</t>
  </si>
  <si>
    <t>NP_001240838.1,NP_001240837.1,NP_003730.4|NP_001344.2</t>
  </si>
  <si>
    <t>ENST00000605781,ENST00000470862,ENST00000480822,ENST00000602997,ENST00000605149,ENST00000380554,ENST00000480697,ENST00000605322,ENST00000603312,ENST00000603484,ENST00000439082|ENST00000477661,ENST00000380872,ENST00000442997,ENST00000380859,ENST00000476100,ENST00000434459</t>
  </si>
  <si>
    <t>ENSP00000474188,ENSP00000474882,ENSP00000369927,ENSP00000401327|ENSP00000370254,ENSP00000416415,ENSP00000370240,ENSP00000412248</t>
  </si>
  <si>
    <t>ENST00000265742,ENST00000442183,ENST00000439883,ENST00000486698,ENST00000413588,ENST00000422095,ENST00000465883</t>
  </si>
  <si>
    <t>ENSP00000265742,ENSP00000407002,ENSP00000407913,ENSP00000406644,ENSP00000396406</t>
  </si>
  <si>
    <t>ENST00000435504,ENST00000404843,ENST00000497092,ENST00000336112</t>
  </si>
  <si>
    <t>ENSP00000391447,ENSP00000383920,ENSP00000337250</t>
  </si>
  <si>
    <t>ENST00000571047,ENST00000254846,ENST00000448097,ENST00000572030,ENST00000575521,ENST00000570632</t>
  </si>
  <si>
    <t>ENSP00000254846,ENSP00000412513,ENSP00000458445</t>
  </si>
  <si>
    <t>ENST00000484979,ENST00000377918,ENST00000612954,ENST00000615375</t>
  </si>
  <si>
    <t>ENSP00000432899,ENSP00000367151,ENSP00000481329,ENSP00000483215</t>
  </si>
  <si>
    <t>NM_030594,NM_001079535,NM_001079534,NM_001079533</t>
  </si>
  <si>
    <t>NP_085097.3,NP_001073003.1,NP_001073002.1,NP_001073001.1</t>
  </si>
  <si>
    <t>ENST00000632265,ENST00000633598,ENST00000616775,ENST00000632172,ENST00000632305,ENST00000619696,ENST00000633293,ENST00000620212,ENST00000631674,ENST00000632526,ENST00000632883,ENST00000633369,ENST00000634018,ENST00000633271,ENST00000631406,ENST00000632436,ENST00000634185,ENST00000610719</t>
  </si>
  <si>
    <t>ENSP00000482116,ENSP00000488102,ENSP00000488484,ENSP00000482965,ENSP00000488842,ENSP00000478558,ENSP00000488352,ENSP00000487757,ENSP00000488206,ENSP00000488628,ENSP00000488508,ENSP00000487897,ENSP00000478378</t>
  </si>
  <si>
    <t>NM_001005369,NM_002453</t>
  </si>
  <si>
    <t>NP_001005369.1,NP_002444.2</t>
  </si>
  <si>
    <t>ENST00000403721,ENST00000263629,ENST00000418823,ENST00000417741,ENST00000446660,ENST00000366137,ENST00000441307,ENST00000404297,ENST00000420637,ENST00000417363,ENST00000412530,ENST00000394600</t>
  </si>
  <si>
    <t>ENSP00000384481,ENSP00000263629,ENSP00000403492,ENSP00000393337,ENSP00000388640,ENSP00000383880,ENSP00000416057,ENSP00000399531,ENSP00000393025,ENSP00000378099</t>
  </si>
  <si>
    <t>ENST00000422247,ENST00000506809,ENST00000257287,ENST00000515081,ENST00000506202</t>
  </si>
  <si>
    <t>ENSP00000412799,ENSP00000257287</t>
  </si>
  <si>
    <t>ENST00000517970,ENST00000523863,ENST00000518683,ENST00000520374,ENST00000521079,ENST00000520453,ENST00000521997,ENST00000524036,ENST00000520521,ENST00000520798,ENST00000265428</t>
  </si>
  <si>
    <t>ENSP00000427793,ENSP00000429076,ENSP00000430228,ENSP00000265428</t>
  </si>
  <si>
    <t>Homo sapiens zinc finger, CCHC domain containing 4 (ZCCHC4)</t>
  </si>
  <si>
    <t>ENST00000505451,ENST00000302874,ENST00000507760,ENST00000505412,ENST00000508058,ENST00000612982</t>
  </si>
  <si>
    <t>ENSP00000303468,ENSP00000422115,ENSP00000422269,ENSP00000483464</t>
  </si>
  <si>
    <t>NM_145333,NM_145332,NM_145331,NM_003188</t>
  </si>
  <si>
    <t>NP_663306.1,NP_663305.1,NP_663304.1,NP_003179.1</t>
  </si>
  <si>
    <t>ENST00000511544,ENST00000512702,ENST00000513811,ENST00000507954,ENST00000515124,ENST00000514450,ENST00000503292,ENST00000503658,ENST00000634028,ENST00000389652,ENST00000510220,ENST00000506643,ENST00000512202,ENST00000514039,ENST00000513035,ENST00000424120,ENST00000438599</t>
  </si>
  <si>
    <t>ENSP00000426109,ENSP00000422875,ENSP00000427221,ENSP00000424368,ENSP00000421809,ENSP00000426846,ENSP00000488669,ENSP00000374303,ENSP00000422931,ENSP00000488534,ENSP00000403465,ENSP00000401154</t>
  </si>
  <si>
    <t>Homo sapiens zinc finger, RAN-binding domain containing 3 (ZRANB3)</t>
  </si>
  <si>
    <t>ENST00000412849,ENST00000401392,ENST00000264159,ENST00000403017,ENST00000474919,ENST00000495945,ENST00000452187,ENST00000472452,ENST00000492193,ENST00000536680,ENST00000619650</t>
  </si>
  <si>
    <t>ENSP00000383979,ENSP00000264159,ENSP00000384245,ENSP00000441320,ENSP00000480120</t>
  </si>
  <si>
    <t>NM_001193461,NM_001193460,NM_001031679,NM_198080</t>
  </si>
  <si>
    <t>NP_001180390.1,NP_001180389.1,NP_001026849.1,NP_932346.1</t>
  </si>
  <si>
    <t>ENST00000355192,ENST00000308259,ENST00000541897,ENST00000538725,ENST00000540804,ENST00000535664,ENST00000541189,ENST00000538045,ENST00000535239,ENST00000446731,ENST00000535143,ENST00000614640</t>
  </si>
  <si>
    <t>ENSP00000347324,ENSP00000312274,ENSP00000445051,ENSP00000437623,ENSP00000441650,ENSP00000440722,ENSP00000442620,ENSP00000445843,ENSP00000404903,ENSP00000481483</t>
  </si>
  <si>
    <t>NM_001162916,NM_138467,NR_027962</t>
  </si>
  <si>
    <t>NP_001156388.1,NP_612476.1,-</t>
  </si>
  <si>
    <t>ENST00000370867,ENST00000479111,ENST00000483990,ENST00000485401,ENST00000449696,ENST00000486467,ENST00000467646,ENST00000457880</t>
  </si>
  <si>
    <t>ENSP00000359904,ENSP00000477469,ENSP00000476365,ENSP00000407025</t>
  </si>
  <si>
    <t>ENST00000505762,ENST00000514921,ENST00000274897,ENST00000370877,ENST00000509997,ENST00000460844,ENST00000370876,ENST00000447836,ENST00000511678,ENST00000503951,ENST00000511744,ENST00000502396,ENST00000514433</t>
  </si>
  <si>
    <t>ENSP00000423191,ENSP00000425142,ENSP00000274897,ENSP00000359914,ENSP00000427584,ENSP00000421727,ENSP00000359913,ENSP00000411917,ENSP00000427057,ENSP00000426830,ENSP00000426290,ENSP00000421444</t>
  </si>
  <si>
    <t>NM_001243286,NM_015480</t>
  </si>
  <si>
    <t>NP_001230215.1,NP_056295.1</t>
  </si>
  <si>
    <t>ENST00000491525,ENST00000461477,ENST00000485303,ENST00000319792,ENST00000486596,ENST00000493615,ENST00000488016,ENST00000470618,ENST00000481766,ENST00000478327,ENST00000485506</t>
  </si>
  <si>
    <t>ENSP00000418691,ENSP00000418327,ENSP00000418070,ENSP00000321514,ENSP00000417572,ENSP00000420579,ENSP00000420479,ENSP00000419829</t>
  </si>
  <si>
    <t>ENST00000326877,ENST00000510451,ENST00000510121,ENST00000382224,ENST00000512376,ENST00000382226</t>
  </si>
  <si>
    <t>ENSP00000317566,ENSP00000423489,ENSP00000371659,ENSP00000371661</t>
  </si>
  <si>
    <t>NM_000598,NM_001013398</t>
  </si>
  <si>
    <t>NP_000589.2,NP_001013416.1</t>
  </si>
  <si>
    <t>ENST00000381086,ENST00000275521,ENST00000460209,ENST00000381083,ENST00000428530,ENST00000417621,ENST00000448817,ENST00000465642,ENST00000460477,ENST00000613132,ENST00000615754</t>
  </si>
  <si>
    <t>ENSP00000370476,ENSP00000275521,ENSP00000370473,ENSP00000390298,ENSP00000399116,ENSP00000389668,ENSP00000477772,ENSP00000480717</t>
  </si>
  <si>
    <t>Homo sapiens ArfGAP with SH3 domain, ankyrin repeat and PH domain 1 (ASAP1)</t>
  </si>
  <si>
    <t>NM_001247996,NM_018482</t>
  </si>
  <si>
    <t>NP_001234925.1,NP_060952.2</t>
  </si>
  <si>
    <t>ENST00000524124,ENST00000521075,ENST00000518721,ENST00000519483,ENST00000520189,ENST00000521057,ENST00000524018,ENST00000524367,ENST00000519169,ENST00000520342,ENST00000520927,ENST00000518957,ENST00000524299,ENST00000521426,ENST00000520625,ENST00000357668</t>
  </si>
  <si>
    <t>ENSP00000429391,ENSP00000428463,ENSP00000429900,ENSP00000429829,ENSP00000428936,ENSP00000428629,ENSP00000429614,ENSP00000430917,ENSP00000350297</t>
  </si>
  <si>
    <t>ENST00000597695,ENST00000595607,ENST00000600687,ENST00000594024,ENST00000595408,ENST00000601320,ENST00000598898,ENST00000315849</t>
  </si>
  <si>
    <t>ENSP00000472747,ENSP00000469998,ENSP00000471727,ENSP00000469287,ENSP00000471469,ENSP00000471237,ENSP00000318898</t>
  </si>
  <si>
    <t>NM_001137553,NM_001137552,NM_004735</t>
  </si>
  <si>
    <t>NP_001131025.1,NP_001131024.1,NP_004726.2</t>
  </si>
  <si>
    <t>ENST00000308482,ENST00000465870,ENST00000489295,ENST00000498053,ENST00000289175,ENST00000244815,ENST00000420665,ENST00000392000,ENST00000473815,ENST00000483443,ENST00000478958,ENST00000468950,ENST00000489603,ENST00000464608,ENST00000474195</t>
  </si>
  <si>
    <t>ENSP00000310109,ENSP00000289175,ENSP00000244815,ENSP00000409431,ENSP00000375857</t>
  </si>
  <si>
    <t>ENSP00000442439,ENSP00000355775</t>
  </si>
  <si>
    <t>ENST00000268043,ENST00000333425,ENST00000559239,ENST00000559872,ENST00000559522,ENST00000558380,ENST00000558547,ENST00000560444,ENST00000560504</t>
  </si>
  <si>
    <t>ENSP00000268043,ENSP00000328174,ENSP00000452792</t>
  </si>
  <si>
    <t>ENST00000341423,ENST00000405805,ENST00000339872,ENST00000399489,ENST00000399494,ENST00000326004,ENST00000490788,ENST00000468384</t>
  </si>
  <si>
    <t>ENSP00000345347,ENSP00000384678,ENSP00000343040,ENSP00000382412,ENSP00000382417,ENSP00000369904</t>
  </si>
  <si>
    <t>Homo sapiens late endosomal/lysosomal adaptor, MAPK and MTOR activator 3 (LAMTOR3)</t>
  </si>
  <si>
    <t>NM_001243736,NM_021970,NR_024170</t>
  </si>
  <si>
    <t>NP_001230665.1,NP_068805.1,-</t>
  </si>
  <si>
    <t>ENST00000499666,ENST00000226522,ENST00000515100</t>
  </si>
  <si>
    <t>ENSP00000424183,ENSP00000226522</t>
  </si>
  <si>
    <t>NM_000408,NM_001083112</t>
  </si>
  <si>
    <t>NP_000399.3,NP_001076581.2</t>
  </si>
  <si>
    <t>ENST00000415049,ENST00000310454,ENST00000438166,ENST00000495851,ENST00000416888,ENST00000409674,ENST00000409861,ENST00000430992,ENST00000464846,ENST00000492005,ENST00000496190,ENST00000409125,ENST00000540309</t>
  </si>
  <si>
    <t>ENSP00000412621,ENSP00000308610,ENSP00000409708,ENSP00000387475,ENSP00000386425,ENSP00000386626,ENSP00000408522,ENSP00000386484,ENSP00000440892</t>
  </si>
  <si>
    <t>Homo sapiens leucine rich repeat containing 8 family, member B (LRRC8B)</t>
  </si>
  <si>
    <t>NM_001134476,NM_015350</t>
  </si>
  <si>
    <t>NP_001127948.1,NP_056165.1</t>
  </si>
  <si>
    <t>ENST00000449440,ENST00000330947,ENST00000439853,ENST00000358200</t>
  </si>
  <si>
    <t>ENSP00000395832,ENSP00000332674,ENSP00000400704,ENSP00000350933</t>
  </si>
  <si>
    <t>NM_001008495,NM_001146273</t>
  </si>
  <si>
    <t>NP_001008495.2,NP_001139745.1</t>
  </si>
  <si>
    <t>ENST00000458549,ENST00000422900,ENST00000519519,ENST00000521852,ENST00000523902,ENST00000521211,ENST00000418210</t>
  </si>
  <si>
    <t>ENSP00000414786,ENSP00000407617,ENSP00000429832,ENSP00000430689,ENSP00000411951</t>
  </si>
  <si>
    <t>NM_031243,NM_002137</t>
  </si>
  <si>
    <t>NP_112533.1,NP_002128.1</t>
  </si>
  <si>
    <t>ENST00000476233,ENST00000354667,ENST00000360787,ENST00000463181,ENST00000356674,ENST00000490912,ENST00000495810,ENST00000618183</t>
  </si>
  <si>
    <t>ENSP00000346694,ENSP00000354021,ENSP00000349101,ENSP00000478691</t>
  </si>
  <si>
    <t>ENSP00000381844,ENSP00000437593,ENSP00000441842</t>
  </si>
  <si>
    <t>Homo sapiens metallothionein-like 5, testis-specific (tesmin)</t>
  </si>
  <si>
    <t>ENST00000255087,ENST00000544398,ENST00000543240,ENST00000540869,ENST00000443940,ENST00000438124,ENST00000544963,ENST00000538944,ENST00000432435</t>
  </si>
  <si>
    <t>ENSP00000255087,ENSP00000454311,ENSP00000403086,ENSP00000440968</t>
  </si>
  <si>
    <t>ENST00000602402,ENST00000376795</t>
  </si>
  <si>
    <t>ENSP00000473631,ENSP00000365991</t>
  </si>
  <si>
    <t>ENST00000633515,ENST00000633450,ENST00000631810,ENST00000632134</t>
  </si>
  <si>
    <t>NM_001172105,NM_017577</t>
  </si>
  <si>
    <t>NP_001165576.1,NP_060047.3</t>
  </si>
  <si>
    <t>ENST00000479212,ENST00000358160,ENST00000498183,ENST00000486457,ENST00000472384,ENST00000463760,ENST00000484714,ENST00000467895,ENST00000472026,ENST00000462838,ENST00000440446,ENST00000488680,ENST00000471031,ENST00000466898,ENST00000491038</t>
  </si>
  <si>
    <t>ENSP00000350881,ENSP00000417936,ENSP00000418501,ENSP00000419132,ENSP00000418302,ENSP00000408135,ENSP00000419571</t>
  </si>
  <si>
    <t>ENST00000519807,ENST00000009589,ENST00000524349,ENST00000520490,ENST00000521262,ENST00000520627,ENST00000523936,ENST00000519606,ENST00000521289,ENST00000518875,ENST00000519369,ENST00000618656</t>
  </si>
  <si>
    <t>ENSP00000429374,ENSP00000009589,ENSP00000429049,ENSP00000427788,ENSP00000427860,ENSP00000428104,ENSP00000429333,ENSP00000428146,ENSP00000478703</t>
  </si>
  <si>
    <t>ENST00000435030,ENST00000450621,ENST00000464066,ENST00000460377,ENST00000482151</t>
  </si>
  <si>
    <t>ENSP00000393379,ENSP00000393270</t>
  </si>
  <si>
    <t>ENST00000512239,ENST00000505345,ENST00000503373,ENST00000503973,ENST00000504930,ENST00000514483,ENST00000399107,ENST00000622335</t>
  </si>
  <si>
    <t>ENSP00000424970,ENSP00000427412,ENSP00000422892,ENSP00000422164,ENSP00000421637,ENSP00000425617,ENSP00000382058,ENSP00000478166</t>
  </si>
  <si>
    <t>Homo sapiens SPANX family, member D (SPANXD)|Homo sapiens SPANX family, member A2 (SPANXA2)|Homo sapiens sperm protein associated with the nucleus, X-linked, family member A1 (SPANXA1)</t>
  </si>
  <si>
    <t>ENST00000370515|ENST00000370518|ENST00000370519,ENST00000615379</t>
  </si>
  <si>
    <t>ENSP00000359546|ENSP00000359549|ENSP00000359550,ENSP00000484283</t>
  </si>
  <si>
    <t>ENSP00000343742,ENSP00000398862,ENSP00000441080,ENSP00000440041,ENSP00000478496</t>
  </si>
  <si>
    <t>ENST00000451188,ENST00000438774</t>
  </si>
  <si>
    <t>ENSP00000393161,ENSP00000409337</t>
  </si>
  <si>
    <t>ENST00000470586,ENST00000486812,ENST00000447016,ENST00000422911,ENST00000441787,ENST00000449395,ENST00000398548,ENST00000433067,ENST00000465955,ENST00000477633,ENST00000495217,ENST00000491486,ENST00000489661,ENST00000496124,ENST00000269844,ENST00000447207</t>
  </si>
  <si>
    <t>ENSP00000431410,ENSP00000408592,ENSP00000387958,ENSP00000396943,ENSP00000381556,ENSP00000415471,ENSP00000269844,ENSP00000390245</t>
  </si>
  <si>
    <t>NM_001135937,NM_005901,NM_001003652</t>
  </si>
  <si>
    <t>NP_001129409.1,NP_005892.1,NP_001003652.1</t>
  </si>
  <si>
    <t>ENST00000262160,ENST00000402690,ENST00000586040,ENST00000591214,ENST00000587353,ENST00000587269,ENST00000586514,ENST00000587421,ENST00000586487,ENST00000589877,ENST00000585978,ENST00000356825</t>
  </si>
  <si>
    <t>ENSP00000262160,ENSP00000384449,ENSP00000466193,ENSP00000467075,ENSP00000466254,ENSP00000465355,ENSP00000468202,ENSP00000465971,ENSP00000468732,ENSP00000349282</t>
  </si>
  <si>
    <t>NM_001146156,NM_002093</t>
  </si>
  <si>
    <t>NP_001139628.1,NP_002084.2</t>
  </si>
  <si>
    <t>ENST00000264235,ENST00000316626,ENST00000474830,ENST00000473886</t>
  </si>
  <si>
    <t>ENSP00000264235,ENSP00000324806</t>
  </si>
  <si>
    <t>NM_001033568,NM_001033566,NM_018307</t>
  </si>
  <si>
    <t>NP_001028740.1,NP_001028738.1,NP_060777.3</t>
  </si>
  <si>
    <t>ENST00000333942,ENST00000358365,ENST00000583994,ENST00000545287,ENST00000354266,ENST00000581031,ENST00000581094,ENST00000578205,ENST00000580976,ENST00000394692,ENST00000582602,ENST00000581567,ENST00000580392,ENST00000581148,ENST00000584692,ENST00000584852,ENST00000582586</t>
  </si>
  <si>
    <t>ENSP00000334724,ENSP00000351132,ENSP00000462698,ENSP00000439737,ENSP00000346215,ENSP00000464094,ENSP00000462669,ENSP00000462612,ENSP00000378184,ENSP00000464851,ENSP00000463532,ENSP00000467272,ENSP00000464674,ENSP00000461992</t>
  </si>
  <si>
    <t>NM_001015051,NM_001024630</t>
  </si>
  <si>
    <t>NP_001015051.3,NP_001019801.3</t>
  </si>
  <si>
    <t>ENST00000483377,ENST00000483243,ENST00000465038,ENST00000371438,ENST00000371436,ENST00000576263,ENST00000473041,ENST00000478660,ENST00000359524,ENST00000625924,ENST00000371432</t>
  </si>
  <si>
    <t>ENSP00000461357,ENSP00000420707,ENSP00000360493,ENSP00000360491,ENSP00000458178,ENSP00000460188,ENSP00000352514,ENSP00000485863,ENSP00000360486</t>
  </si>
  <si>
    <t>ENST00000619925,ENST00000622180,ENST00000621015,ENST00000616544,ENST00000612867,ENST00000619435,ENST00000621410</t>
  </si>
  <si>
    <t>ENSP00000479295,ENSP00000480919,ENSP00000482328,ENSP00000483979,ENSP00000482540,ENSP00000483395,ENSP00000482447</t>
  </si>
  <si>
    <t>NM_030972,NM_001161501,NM_001161500,NM_001161499</t>
  </si>
  <si>
    <t>NP_112234.3,NP_001154973.1,NP_001154972.1,NP_001154971.1</t>
  </si>
  <si>
    <t>ENST00000595001,ENST00000602162,ENST00000319783,ENST00000595798,ENST00000601249,ENST00000601643,ENST00000600943,ENST00000598639,ENST00000597343,ENST00000598723,ENST00000596702,ENST00000602046,ENST00000601447,ENST00000597566,ENST00000599798,ENST00000596776,ENST00000540744,ENST00000543227,ENST00000453741</t>
  </si>
  <si>
    <t>ENSP00000471243,ENSP00000472648,ENSP00000322427,ENSP00000469376,ENSP00000472093,ENSP00000470022,ENSP00000469314,ENSP00000472849,ENSP00000470182,ENSP00000472910,ENSP00000469110,ENSP00000439211,ENSP00000437616,ENSP00000443505</t>
  </si>
  <si>
    <t>NM_001130007,NM_002094,NM_001130006</t>
  </si>
  <si>
    <t>NP_001123479.1,NP_002085.2,NP_001123478.1</t>
  </si>
  <si>
    <t>ENST00000434724,ENST00000439887,ENST00000565267,ENST00000563468,ENST00000420576,ENST00000564790,ENST00000562794,ENST00000568849,ENST00000567631,ENST00000562169</t>
  </si>
  <si>
    <t>ENSP00000398131,ENSP00000408399,ENSP00000456057,ENSP00000454351,ENSP00000399539,ENSP00000456897,ENSP00000454538</t>
  </si>
  <si>
    <t>Homo sapiens family with sequence similarity 91, member A1 (FAM91A1)</t>
  </si>
  <si>
    <t>ENST00000521166,ENST00000334705,ENST00000519721,ENST00000521704,ENST00000517912,ENST00000518333,ENST00000518976,ENST00000520246</t>
  </si>
  <si>
    <t>ENSP00000429491,ENSP00000335082,ENSP00000429784,ENSP00000430158,ENSP00000431097</t>
  </si>
  <si>
    <t>Homo sapiens membrane-bound transcription factor peptidase, site 2 (MBTPS2)</t>
  </si>
  <si>
    <t>ENST00000465888,ENST00000379484,ENST00000365779</t>
  </si>
  <si>
    <t>ENSP00000368798,ENSP00000368796</t>
  </si>
  <si>
    <t>NM_001164766,NM_006885</t>
  </si>
  <si>
    <t>NP_001158238.1,NP_008816.3</t>
  </si>
  <si>
    <t>ENST00000268489,ENST00000397992,ENST00000563625,ENST00000558842</t>
  </si>
  <si>
    <t>ENSP00000268489,ENSP00000438926</t>
  </si>
  <si>
    <t>ENST00000376300,ENST00000319432,ENST00000437999,ENST00000474546,ENST00000470650,ENST00000466171,ENST00000488908,ENST00000460781,ENST00000474006</t>
  </si>
  <si>
    <t>ENSP00000365477,ENSP00000324135,ENSP00000392989</t>
  </si>
  <si>
    <t>ENST00000192788,ENST00000452449</t>
  </si>
  <si>
    <t>ENSP00000192788,ENSP00000400628</t>
  </si>
  <si>
    <t>ENSP00000387936,ENSP00000393223,ENSP00000363304,ENSP00000397729,ENSP00000363297,ENSP00000363294,ENSP00000363291,ENSP00000363289,ENSP00000378974,ENSP00000353483</t>
  </si>
  <si>
    <t>NM_015199,NM_001195099,NM_001195098</t>
  </si>
  <si>
    <t>NP_056014.2,NP_001182028.1,NP_001182027.1</t>
  </si>
  <si>
    <t>ENST00000399451,ENST00000412318,ENST00000498713,ENST00000497037,ENST00000479043,ENST00000451422,ENST00000463533,ENST00000498524,ENST00000462657,ENST00000492895,ENST00000476472,ENST00000460278,ENST00000439830,ENST00000461696,ENST00000624145,ENST00000383777</t>
  </si>
  <si>
    <t>ENSP00000382379,ENSP00000397341,ENSP00000394845,ENSP00000389489,ENSP00000485421,ENSP00000373287</t>
  </si>
  <si>
    <t>Homo sapiens synaptotagmin binding, cytoplasmic RNA interacting protein (SYNCRIP)</t>
  </si>
  <si>
    <t>NM_001253771,NM_001159677,NM_001159674,NM_001159673,NM_001159676</t>
  </si>
  <si>
    <t>NP_001240700.1,NP_001153149.1,NP_001153146.1,NP_001153145.1,NP_001153148.1</t>
  </si>
  <si>
    <t>ENST00000355238,ENST00000369622,ENST00000444272,ENST00000616122</t>
  </si>
  <si>
    <t>ENSP00000347380,ENSP00000358635,ENSP00000397782,ENSP00000484577</t>
  </si>
  <si>
    <t>ENST00000376447,ENST00000340717</t>
  </si>
  <si>
    <t>ENSP00000365630,ENSP00000345651</t>
  </si>
  <si>
    <t>NM_175743,NM_175742,NM_005361|NM_153488|NM_001166387,NM_001166386,NM_005367|NM_005362</t>
  </si>
  <si>
    <t>NP_786885.1,NP_786884.1,NP_005352.1|NP_705692.1|NP_001159859.1,NP_001159858.1,NP_005358.2|NP_005353.1</t>
  </si>
  <si>
    <t>ENST00000611557|ENST00000611557|ENST00000357916,ENST00000393869,ENST00000393900|ENST00000370278,ENST00000417212,ENST00000598245</t>
  </si>
  <si>
    <t>ENSP00000480738|ENSP00000480738|ENSP00000350592,ENSP00000377447,ENSP00000377478|ENSP00000359301,ENSP00000392758,ENSP00000473093</t>
  </si>
  <si>
    <t>Homo sapiens H2A histone family, member V (H2AFV)</t>
  </si>
  <si>
    <t>ENST00000222690,ENST00000437072,ENST00000349299,ENST00000308153,ENST00000350771,ENST00000381124,ENST00000521529,ENST00000446531</t>
  </si>
  <si>
    <t>ENSP00000222690,ENSP00000397115,ENSP00000342714,ENSP00000308405,ENSP00000340708,ENSP00000370516,ENSP00000430492,ENSP00000406901</t>
  </si>
  <si>
    <t>ENST00000437048,ENST00000574029,ENST00000576149,ENST00000541903,ENST00000570771,ENST00000573028,ENST00000291074,ENST00000571805,ENST00000401468,ENST00000389040,ENST00000570359,ENST00000572607,ENST00000570650,ENST00000572334,ENST00000576019,ENST00000575207,ENST00000575100,ENST00000572259,ENST00000570510,ENST00000571456</t>
  </si>
  <si>
    <t>ENSP00000401435,ENSP00000459159,ENSP00000458311,ENSP00000291074,ENSP00000459312,ENSP00000384294,ENSP00000373692,ENSP00000458651,ENSP00000461429</t>
  </si>
  <si>
    <t>Homo sapiens collagen, type XXV, alpha 1 (COL25A1)</t>
  </si>
  <si>
    <t>NM_198721,NR_045756</t>
  </si>
  <si>
    <t>NP_942014.1,-</t>
  </si>
  <si>
    <t>ENST00000494183,ENST00000512961,ENST00000399132,ENST00000399127,ENST00000399126,ENST00000505377,ENST00000505591,ENST00000610288,ENST00000622134</t>
  </si>
  <si>
    <t>ENSP00000437131,ENSP00000426841,ENSP00000382083,ENSP00000382078,ENSP00000382077,ENSP00000422266,ENSP00000482699,ENSP00000484110</t>
  </si>
  <si>
    <t>NM_001135769,NM_001135768,NM_006505</t>
  </si>
  <si>
    <t>NP_001129241.1,NP_001129240.1,NP_006496.4</t>
  </si>
  <si>
    <t>ENST00000425690,ENST00000344956,ENST00000403059,ENST00000187830,ENST00000406449,ENST00000587785</t>
  </si>
  <si>
    <t>ENSP00000402060,ENSP00000340870,ENSP00000385344,ENSP00000187830,ENSP00000383907,ENSP00000466447</t>
  </si>
  <si>
    <t>Homo sapiens RNA binding motif protein, X-linked (RBMX)</t>
  </si>
  <si>
    <t>ENST00000561733,ENST00000431446,ENST00000496459,ENST00000568578,ENST00000419968,ENST00000464781,ENST00000320676,ENST00000562646,ENST00000565438,ENST00000567262,ENST00000563370,ENST00000565907</t>
  </si>
  <si>
    <t>ENSP00000411989,ENSP00000457691,ENSP00000405117,ENSP00000456048,ENSP00000359645,ENSP00000457051,ENSP00000457866,ENSP00000454777</t>
  </si>
  <si>
    <t>NM_153645,NM_007172</t>
  </si>
  <si>
    <t>NP_705931.1,NP_009103.2</t>
  </si>
  <si>
    <t>ENST00000347635,ENST00000407019,ENST00000424634,ENST00000417702,ENST00000497960,ENST00000461437,ENST00000434760,ENST00000430547,ENST00000484186,ENST00000445721,ENST00000493456,ENST00000396096,ENST00000461194,ENST00000432340,ENST00000419387,ENST00000422489,ENST00000486184,ENST00000491860,ENST00000469163</t>
  </si>
  <si>
    <t>ENSP00000345895,ENSP00000385555,ENSP00000415062,ENSP00000394450,ENSP00000388426,ENSP00000397960,ENSP00000398297,ENSP00000379403,ENSP00000400465,ENSP00000391987,ENSP00000416264</t>
  </si>
  <si>
    <t>NM_001017977,NM_018442</t>
  </si>
  <si>
    <t>NP_001017977.1,NP_060912.2</t>
  </si>
  <si>
    <t>ENST00000450548,ENST00000470919,ENST00000367843,ENST00000470721,ENST00000312263,ENST00000367840,ENST00000455334,ENST00000491067,ENST00000460432,ENST00000489398,ENST00000478668,ENST00000432587</t>
  </si>
  <si>
    <t>ENSP00000356817,ENSP00000432304,ENSP00000311949,ENSP00000356814,ENSP00000396238</t>
  </si>
  <si>
    <t>Homo sapiens TBC1 domain family, member 15 (TBC1D15)</t>
  </si>
  <si>
    <t>NM_001146213,NM_022771,NM_001146214,NR_027449</t>
  </si>
  <si>
    <t>NP_001139685.2,NP_073608.4,NP_001139686.1,-</t>
  </si>
  <si>
    <t>ENST00000482439,ENST00000550746,ENST00000498482,ENST00000474468,ENST00000549402,ENST00000472611,ENST00000491063,ENST00000319106,ENST00000462788,ENST00000485960,ENST00000468049,ENST00000546932,ENST00000460818,ENST00000483828,ENST00000548679,ENST00000479971,ENST00000546450</t>
  </si>
  <si>
    <t>ENSP00000449643,ENSP00000448182,ENSP00000417308,ENSP00000419365,ENSP00000418091,ENSP00000318262,ENSP00000418467,ENSP00000420678,ENSP00000420190</t>
  </si>
  <si>
    <t>ENST00000591289,ENST00000613197,ENST00000620012,ENST00000614049,ENST00000592308</t>
  </si>
  <si>
    <t>ENSP00000479807,ENSP00000483138,ENSP00000479884,ENSP00000464902</t>
  </si>
  <si>
    <t>Homo sapiens zinc finger protein 542, pseudogene (ZNF542P)</t>
  </si>
  <si>
    <t>NR_033418,NR_024057,NR_024056,NR_003127,NR_024055</t>
  </si>
  <si>
    <t>ENST00000467807,ENST00000462524,ENST00000589844,ENST00000490123,ENST00000468396,ENST00000488113,ENST00000495307,ENST00000596094,ENST00000587341,ENST00000595222,ENST00000587208,ENST00000482727</t>
  </si>
  <si>
    <t>ENST00000585287,ENST00000583945,ENST00000393066,ENST00000577554,ENST00000262294,ENST00000393065,ENST00000581468,ENST00000582852,ENST00000580973,ENST00000580122,ENST00000580620,ENST00000583387,ENST00000584889,ENST00000625984</t>
  </si>
  <si>
    <t>ENSP00000464666,ENSP00000462778,ENSP00000376785,ENSP00000462340,ENSP00000262294,ENSP00000376784,ENSP00000462863,ENSP00000464590,ENSP00000464688,ENSP00000464263,ENSP00000485901</t>
  </si>
  <si>
    <t>Homo sapiens N-acetylglucosamine-1-phosphate transferase, alpha and beta subunits (GNPTAB)</t>
  </si>
  <si>
    <t>ENST00000299314,ENST00000549738,ENST00000550718,ENST00000549194,ENST00000552009,ENST00000549940,ENST00000552681,ENST00000550352,ENST00000392919,ENST00000549165</t>
  </si>
  <si>
    <t>ENSP00000299314,ENSP00000450161,ENSP00000449557,ENSP00000449150,ENSP00000449217,ENSP00000376651,ENSP00000450413</t>
  </si>
  <si>
    <t>Homo sapiens non-SMC condensin II complex, subunit G2 (NCAPG2)</t>
  </si>
  <si>
    <t>ENST00000432615,ENST00000356309,ENST00000409423,ENST00000441982,ENST00000467785,ENST00000409339,ENST00000474940,ENST00000475918,ENST00000491792,ENST00000472591,ENST00000621338</t>
  </si>
  <si>
    <t>ENSP00000414337,ENSP00000348657,ENSP00000386569,ENSP00000408080,ENSP00000387007</t>
  </si>
  <si>
    <t>Homo sapiens inhibitor of kappa light polypeptide gene enhancer in B-cells, kinase complex-associated protein (IKBKAP)</t>
  </si>
  <si>
    <t>ENST00000495759,ENST00000374647,ENST00000467959,ENST00000537196</t>
  </si>
  <si>
    <t>ENSP00000433514,ENSP00000363779,ENSP00000439367</t>
  </si>
  <si>
    <t>Homo sapiens cold shock domain containing E1, RNA-binding (CSDE1)</t>
  </si>
  <si>
    <t>NM_001242893,NM_001242892,NM_001242891,NM_001130523,NM_001007553,NM_007158</t>
  </si>
  <si>
    <t>NP_001229822.1,NP_001229821.1,NP_001229820.1,NP_001123995.1,NP_001007554.1,NP_009089.4</t>
  </si>
  <si>
    <t>ENST00000339438,ENST00000438362,ENST00000358528,ENST00000261443,ENST00000530886,ENST00000369530,ENST00000483407,ENST00000534699,ENST00000483030,ENST00000530784,ENST00000529046,ENST00000525132,ENST00000534389,ENST00000525878,ENST00000525970,ENST00000533818,ENST00000524652,ENST00000610726</t>
  </si>
  <si>
    <t>ENSP00000342408,ENSP00000407724,ENSP00000351329,ENSP00000261443,ENSP00000431297,ENSP00000358543,ENSP00000432958,ENSP00000437159,ENSP00000431770,ENSP00000435185,ENSP00000431562,ENSP00000432805,ENSP00000481762</t>
  </si>
  <si>
    <t>ENST00000393389,ENST00000528722,ENST00000260047,ENST00000526731,ENST00000531895,ENST00000393392,ENST00000533342,ENST00000531815,ENST00000528190</t>
  </si>
  <si>
    <t>ENSP00000377049,ENSP00000432375,ENSP00000260047,ENSP00000433585,ENSP00000434666,ENSP00000377051,ENSP00000435790,ENSP00000435197</t>
  </si>
  <si>
    <t>NM_025208,NM_033135</t>
  </si>
  <si>
    <t>NP_079484.1,NP_149126.1</t>
  </si>
  <si>
    <t>ENST00000393158,ENST00000302251,ENST00000529268</t>
  </si>
  <si>
    <t>ENSP00000376865,ENSP00000302193,ENSP00000432909</t>
  </si>
  <si>
    <t>ENST00000532828,ENST00000531805,ENST00000527838,ENST00000591492,ENST00000586320,ENST00000392156,ENST00000591273,ENST00000526705,ENST00000534363</t>
  </si>
  <si>
    <t>ENSP00000433773,ENSP00000436774,ENSP00000435268,ENSP00000465871,ENSP00000467380,ENSP00000432760,ENSP00000467283,ENSP00000434541</t>
  </si>
  <si>
    <t>NM_015087,NM_001142296,NM_001142295,NM_001142294</t>
  </si>
  <si>
    <t>NP_055902.1,NP_001135768.1,NP_001135767.1,NP_001135766.1</t>
  </si>
  <si>
    <t>ENST00000355182,ENST00000451493,ENST00000476377,ENST00000494703,ENST00000495510,ENST00000482146,ENST00000475603,ENST00000460126,ENST00000491805,ENST00000494062,ENST00000438666</t>
  </si>
  <si>
    <t>ENSP00000347314,ENSP00000414147,ENSP00000473599,ENSP00000406061</t>
  </si>
  <si>
    <t>Homo sapiens X-linked inhibitor of apoptosis, E3 ubiquitin protein ligase (XIAP)</t>
  </si>
  <si>
    <t>NR_037916,NM_001204401,NM_001167</t>
  </si>
  <si>
    <t>-,NP_001191330.1,NP_001158.2</t>
  </si>
  <si>
    <t>ENST00000422098,ENST00000481776,ENST00000497906,ENST00000468691,ENST00000430625,ENST00000371199,ENST00000497640,ENST00000355640,ENST00000468503,ENST00000496602,ENST00000434753</t>
  </si>
  <si>
    <t>ENSP00000405529,ENSP00000400637,ENSP00000360242,ENSP00000347858,ENSP00000395230</t>
  </si>
  <si>
    <t>NM_001256787,NM_001256470,NM_019012,NM_001143821</t>
  </si>
  <si>
    <t>NP_001243716.1,NP_001243399.1,NP_061885.2,NP_001137293.2</t>
  </si>
  <si>
    <t>NM_001102399,NM_001102398,NM_001102397,NM_005826</t>
  </si>
  <si>
    <t>NP_001095869.1,NP_001095868.1,NP_001095867.1,NP_005817.1</t>
  </si>
  <si>
    <t>ENST00000464516,ENST00000478691,ENST00000374616,ENST00000476660,ENST00000374612,ENST00000302271,ENST00000606561,ENST00000463552,ENST00000470941,ENST00000476451,ENST00000490652,ENST00000427764</t>
  </si>
  <si>
    <t>ENSP00000474437,ENSP00000363745,ENSP00000363741,ENSP00000304405,ENSP00000475760,ENSP00000392799</t>
  </si>
  <si>
    <t>Homo sapiens aldehyde dehydrogenase 1 family, member A3 (ALDH1A3)</t>
  </si>
  <si>
    <t>ENST00000561338,ENST00000329841,ENST00000558033,ENST00000557963,ENST00000560555,ENST00000346623,ENST00000558869</t>
  </si>
  <si>
    <t>ENSP00000452789,ENSP00000332256,ENSP00000454107,ENSP00000453328,ENSP00000343294</t>
  </si>
  <si>
    <t>ENST00000261438,ENST00000514033,ENST00000482150</t>
  </si>
  <si>
    <t>ENSP00000261438,ENSP00000421252</t>
  </si>
  <si>
    <t>ENST00000262241,ENST00000558495,ENST00000559597,ENST00000560472</t>
  </si>
  <si>
    <t>ENSP00000262241,ENSP00000454204</t>
  </si>
  <si>
    <t>NM_006390,NM_001190995</t>
  </si>
  <si>
    <t>NP_006381.2,NP_001177924.1</t>
  </si>
  <si>
    <t>ENST00000256079,ENST00000544829,ENST00000535598,ENST00000542464,ENST00000611458,ENST00000535989,ENST00000540979,ENST00000543446,ENST00000358724,ENST00000545077,ENST00000538338</t>
  </si>
  <si>
    <t>ENSP00000256079,ENSP00000444520,ENSP00000446232,ENSP00000439556,ENSP00000481026,ENSP00000440979,ENSP00000443789,ENSP00000439413,ENSP00000444050,ENSP00000446254</t>
  </si>
  <si>
    <t>Homo sapiens glomulin, FKBP associated protein (GLMN)</t>
  </si>
  <si>
    <t>ENST00000370360,ENST00000495106,ENST00000471465,ENST00000495852,ENST00000463560,ENST00000487911</t>
  </si>
  <si>
    <t>ENSP00000359385,ENSP00000436829,ENSP00000469157,ENSP00000468973</t>
  </si>
  <si>
    <t>ENST00000461673,ENST00000369278</t>
  </si>
  <si>
    <t>Homo sapiens NLR family, pyrin domain containing 2 (NLRP2)</t>
  </si>
  <si>
    <t>NM_001174083,NM_001174082,NM_001174081,NM_017852</t>
  </si>
  <si>
    <t>NP_001167554.1,NP_001167553.1,NP_001167552.1,NP_060322.1</t>
  </si>
  <si>
    <t>ENST00000588619,ENST00000588107,ENST00000433772,ENST00000543010,ENST00000540597,ENST00000391721,ENST00000339757,ENST00000539848,ENST00000585500,ENST00000427260,ENST00000263437,ENST00000397169,ENST00000540005,ENST00000543277,ENST00000381637,ENST00000586512,ENST00000542755,ENST00000448584,ENST00000537859</t>
  </si>
  <si>
    <t>ENSP00000466260,ENSP00000465069,ENSP00000443519,ENSP00000445135,ENSP00000375601,ENSP00000344074,ENSP00000442351,ENSP00000467349,ENSP00000402474,ENSP00000263437,ENSP00000441363,ENSP00000466537,ENSP00000445846,ENSP00000469973,ENSP00000409370,ENSP00000440601</t>
  </si>
  <si>
    <t>ENST00000588915,ENST00000262291,ENST00000593168,ENST00000586245,ENST00000585847,ENST00000587945,ENST00000588131,ENST00000589823,ENST00000592106,ENST00000591315,ENST00000587259,ENST00000592619,ENST00000591877,ENST00000591782,ENST00000588617,ENST00000592790,ENST00000587470</t>
  </si>
  <si>
    <t>ENSP00000262291,ENSP00000465972,ENSP00000466579,ENSP00000465947,ENSP00000466413,ENSP00000466198,ENSP00000467093,ENSP00000466511,ENSP00000465397,ENSP00000465911,ENSP00000467350</t>
  </si>
  <si>
    <t>Homo sapiens eukaryotic translation initiation factor 2, subunit 2 beta, 38kDa (EIF2S2)</t>
  </si>
  <si>
    <t>NM_001261467,NM_032141</t>
  </si>
  <si>
    <t>NP_001248396.1,NP_115517.1</t>
  </si>
  <si>
    <t>ENST00000540900,ENST00000584423,ENST00000247026,ENST00000584154,ENST00000577289,ENST00000394826,ENST00000479218,ENST00000475652,ENST00000584317,ENST00000583301,ENST00000585881,ENST00000467446,ENST00000580103,ENST00000581048,ENST00000588614,ENST00000589608,ENST00000612959</t>
  </si>
  <si>
    <t>ENSP00000464237,ENSP00000247026,ENSP00000462820,ENSP00000378303,ENSP00000466640,ENSP00000464569,ENSP00000463722,ENSP00000465442,ENSP00000468327,ENSP00000466463,ENSP00000467856,ENSP00000477862</t>
  </si>
  <si>
    <t>ENST00000559624,ENST00000263791,ENST00000560648,ENST00000560855,ENST00000624709,ENST00000558629,ENST00000559311,ENST00000558557,ENST00000558743,ENST00000559032,ENST00000558823</t>
  </si>
  <si>
    <t>ENSP00000453148,ENSP00000263791,ENSP00000453968,ENSP00000453575,ENSP00000454210</t>
  </si>
  <si>
    <t>NM_001242813,NM_014942,NM_001242814,NM_001242811,NM_001242809</t>
  </si>
  <si>
    <t>NP_001229742.1,NP_055757.3,NP_001229743.1,NP_001229740.1,NP_001229738.1</t>
  </si>
  <si>
    <t>ENST00000369408,ENST00000520886,ENST00000339746,ENST00000447838,ENST00000520458,ENST00000465722,ENST00000523798,ENST00000522441,ENST00000522779,ENST00000485637,ENST00000522705,ENST00000518150,ENST00000520793,ENST00000518253,ENST00000524056,ENST00000520839,ENST00000415924,ENST00000479572,ENST00000492158,ENST00000521004,ENST00000483473,ENST00000521240</t>
  </si>
  <si>
    <t>ENSP00000358416,ENSP00000345767,ENSP00000396771,ENSP00000431061,ENSP00000429431,ENSP00000428377,ENSP00000430985,ENSP00000429337,ENSP00000430954,ENSP00000428309,ENSP00000429235,ENSP00000429782,ENSP00000429456,ENSP00000429531,ENSP00000430452</t>
  </si>
  <si>
    <t>ENST00000258729,ENST00000421467,ENST00000498363,ENST00000467592,ENST00000497563,ENST00000480547,ENST00000495009,ENST00000468263,ENST00000492771,ENST00000479504,ENST00000466809,ENST00000491719,ENST00000465058,ENST00000469723,ENST00000474105,ENST00000476938,ENST00000468005,ENST00000619562</t>
  </si>
  <si>
    <t>ENSP00000258729,ENSP00000395936,ENSP00000480267</t>
  </si>
  <si>
    <t>Homo sapiens protein-kinase, interferon-inducible double stranded RNA dependent inhibitor, repressor of (P58 repressor)</t>
  </si>
  <si>
    <t>ENST00000529901,ENST00000260045,ENST00000528993,ENST00000525277,ENST00000531878</t>
  </si>
  <si>
    <t>ENSP00000260045,ENSP00000433966</t>
  </si>
  <si>
    <t>ENST00000282344,ENST00000612674,ENST00000620323</t>
  </si>
  <si>
    <t>ENSP00000282344,ENSP00000480395,ENSP00000478929</t>
  </si>
  <si>
    <t>Homo sapiens olfactory receptor, family 7, subfamily G, member 1 (OR7G1)</t>
  </si>
  <si>
    <t>Homo sapiens olfactory receptor, family 4, subfamily K, member 2 (OR4K2)</t>
  </si>
  <si>
    <t>ENST00000301246,ENST00000588605,ENST00000589986,ENST00000591852</t>
  </si>
  <si>
    <t>ENSP00000301246,ENSP00000464940</t>
  </si>
  <si>
    <t>ENST00000359237,ENST00000476971,ENST00000473897,ENST00000466797</t>
  </si>
  <si>
    <t>Homo sapiens olfactory receptor, family 4, subfamily C, member 11 (OR4C11)</t>
  </si>
  <si>
    <t>ENST00000327827,ENST00000574285</t>
  </si>
  <si>
    <t>ENSP00000331720,ENSP00000484249</t>
  </si>
  <si>
    <t>ENST00000341459,ENST00000482911,ENST00000449382,ENST00000463289</t>
  </si>
  <si>
    <t>ENSP00000341550,ENSP00000453395,ENSP00000389966</t>
  </si>
  <si>
    <t>Homo sapiens olfactory receptor, family 6, subfamily C, member 74 (OR6C74)</t>
  </si>
  <si>
    <t>ENST00000367474,ENST00000566741</t>
  </si>
  <si>
    <t>ENSP00000356444,ENSP00000456528</t>
  </si>
  <si>
    <t>Homo sapiens zinc finger, DHHC-type containing 23 (ZDHHC23)</t>
  </si>
  <si>
    <t>ENST00000330212,ENST00000498275,ENST00000478793,ENST00000491556,ENST00000488129,ENST00000496083</t>
  </si>
  <si>
    <t>ENSP00000330485,ENSP00000417840,ENSP00000420251,ENSP00000420292,ENSP00000417579</t>
  </si>
  <si>
    <t>ENST00000361479,ENST00000414242,ENST00000467481,ENST00000449056,ENST00000496525</t>
  </si>
  <si>
    <t>ENSP00000355388,ENSP00000414663,ENSP00000405941</t>
  </si>
  <si>
    <t>ENST00000263966,ENST00000482333,ENST00000497380,ENST00000496897,ENST00000497155</t>
  </si>
  <si>
    <t>ENSP00000263966,ENSP00000418651,ENSP00000417146,ENSP00000420057</t>
  </si>
  <si>
    <t>ENST00000431807,ENST00000471546,ENST00000389175,ENST00000471033,ENST00000498512,ENST00000495513,ENST00000497159,ENST00000469429,ENST00000494389,ENST00000460114,ENST00000424427,ENST00000409270,ENST00000448409,ENST00000461825,ENST00000465092,ENST00000463826,ENST00000487663,ENST00000461243,ENST00000483877</t>
  </si>
  <si>
    <t>ENSP00000389008,ENSP00000373827,ENSP00000396153,ENSP00000387257,ENSP00000413957</t>
  </si>
  <si>
    <t>Homo sapiens DCN1, defective in cullin neddylation 1, domain containing 1 (DCUN1D1)</t>
  </si>
  <si>
    <t>ENST00000292782,ENST00000469954,ENST00000492563,ENST00000497606,ENST00000460412,ENST00000487822,ENST00000466812,ENST00000632685</t>
  </si>
  <si>
    <t>ENSP00000292782,ENSP00000419359,ENSP00000418935,ENSP00000417675,ENSP00000419440,ENSP00000418913,ENSP00000420073,ENSP00000488427</t>
  </si>
  <si>
    <t>ENST00000447706,ENST00000452560,ENST00000413408,ENST00000331314,ENST00000429498,ENST00000433235,ENST00000453944,ENST00000436897</t>
  </si>
  <si>
    <t>ENSP00000394367,ENSP00000416331,ENSP00000394304,ENSP00000330460,ENSP00000408662,ENSP00000409954,ENSP00000398152,ENSP00000391312</t>
  </si>
  <si>
    <t>Homo sapiens family with sequence similarity 69, member A (FAM69A)</t>
  </si>
  <si>
    <t>NM_001252271,NM_001252270,NM_001252269,NM_001006605</t>
  </si>
  <si>
    <t>NP_001239200.1,NP_001239199.1,NP_001239198.1,NP_001006606.2</t>
  </si>
  <si>
    <t>ENST00000370310,ENST00000616709,ENST00000613902,ENST00000615519,ENST00000613047</t>
  </si>
  <si>
    <t>ENSP00000359333,ENSP00000482718,ENSP00000484866,ENSP00000483279,ENSP00000482478</t>
  </si>
  <si>
    <t>ENST00000343325,ENST00000446165,ENST00000597691,ENST00000598225,ENST00000600752,ENST00000498389</t>
  </si>
  <si>
    <t>ENSP00000342974,ENSP00000412981,ENSP00000472685,ENSP00000469996,ENSP00000471179</t>
  </si>
  <si>
    <t>ENST00000555574,ENST00000457354,ENST00000556683</t>
  </si>
  <si>
    <t>ENSP00000393316,ENSP00000451585</t>
  </si>
  <si>
    <t>Homo sapiens fatty acid binding protein 7, brain (FABP7)</t>
  </si>
  <si>
    <t>ENST00000368444,ENST00000356535</t>
  </si>
  <si>
    <t>ENSP00000357429,ENSP00000348931</t>
  </si>
  <si>
    <t>ENST00000462702,ENST00000233055,ENST00000491453,ENST00000493001,ENST00000429915,ENST00000483061</t>
  </si>
  <si>
    <t>ENSP00000233055,ENSP00000395416</t>
  </si>
  <si>
    <t>ENST00000381337,ENST00000396083,ENST00000570231,ENST00000565248,ENST00000569768</t>
  </si>
  <si>
    <t>ENSP00000370741,ENSP00000379392,ENSP00000455033</t>
  </si>
  <si>
    <t>ENST00000496484,ENST00000474866,ENST00000253686,ENST00000449354,ENST00000420267,ENST00000444840,ENST00000447299</t>
  </si>
  <si>
    <t>ENSP00000253686,ENSP00000390882,ENSP00000396828,ENSP00000407733,ENSP00000402068</t>
  </si>
  <si>
    <t>ENST00000470323,ENST00000370747,ENST00000438486,ENST00000495254,ENST00000467790,ENST00000472152,ENST00000485662,ENST00000476911,ENST00000446486</t>
  </si>
  <si>
    <t>ENSP00000359783,ENSP00000399477,ENSP00000400001</t>
  </si>
  <si>
    <t>Homo sapiens scavenger receptor class B, member 2 (SCARB2)</t>
  </si>
  <si>
    <t>NM_001204255,NM_005506</t>
  </si>
  <si>
    <t>NP_001191184.1,NP_005497.1</t>
  </si>
  <si>
    <t>ENST00000264896,ENST00000452464,ENST00000511129,ENST00000502908,ENST00000509994</t>
  </si>
  <si>
    <t>ENSP00000264896,ENSP00000399154,ENSP00000420988</t>
  </si>
  <si>
    <t>NM_001256821,NM_001256820,NM_006912</t>
  </si>
  <si>
    <t>NP_001243750.1,NP_001243749.1,NP_008843.1</t>
  </si>
  <si>
    <t>ENST00000368323,ENST00000539040,ENST00000368322,ENST00000461050,ENST00000609492,ENST00000462687</t>
  </si>
  <si>
    <t>ENSP00000357306,ENSP00000441950,ENSP00000357305,ENSP00000476319,ENSP00000476612</t>
  </si>
  <si>
    <t>ENST00000359660,ENST00000496714,ENST00000481160,ENST00000518486,ENST00000542267,ENST00000619412</t>
  </si>
  <si>
    <t>ENSP00000352683,ENSP00000418111,ENSP00000437464,ENSP00000481439</t>
  </si>
  <si>
    <t>ENST00000412979,ENST00000295321,ENST00000497888,ENST00000495369,ENST00000409725,ENST00000486662,ENST00000479083,ENST00000478949,ENST00000460511,ENST00000483889,ENST00000436740</t>
  </si>
  <si>
    <t>ENSP00000396710,ENSP00000295321,ENSP00000387206</t>
  </si>
  <si>
    <t>Homo sapiens solute carrier family 25, member 46 (SLC25A46)</t>
  </si>
  <si>
    <t>ENST00000508781,ENST00000513807,ENST00000355943,ENST00000447245,ENST00000504098,ENST00000502462,ENST00000513706,ENST00000509432</t>
  </si>
  <si>
    <t>ENSP00000421134,ENSP00000348211,ENSP00000399717,ENSP00000425708,ENSP00000426604</t>
  </si>
  <si>
    <t>Homo sapiens dynein, light chain, Tctex-type 3 (DYNLT3)</t>
  </si>
  <si>
    <t>ENST00000378581,ENST00000378578,ENST00000432389</t>
  </si>
  <si>
    <t>ENSP00000367844,ENSP00000367841,ENSP00000402695</t>
  </si>
  <si>
    <t>ENST00000341853,ENST00000561042,ENST00000559110,ENST00000415963,ENST00000425045</t>
  </si>
  <si>
    <t>ENST00000464223,ENST00000484325,ENST00000361183,ENST00000414148,ENST00000449080,ENST00000490693,ENST00000426421,ENST00000461878,ENST00000417431,ENST00000466023,ENST00000464669,ENST00000465607,ENST00000496161,ENST00000628758</t>
  </si>
  <si>
    <t>ENSP00000420640,ENSP00000418262,ENSP00000354947,ENSP00000408150,ENSP00000419484,ENSP00000395395,ENSP00000485993</t>
  </si>
  <si>
    <t>NM_001194955,NM_001194954,NM_018834,NM_199189,NM_001194956</t>
  </si>
  <si>
    <t>NP_001181884.1,NP_001181883.1,NP_061322.2,NP_954659.1,NP_001181885.1</t>
  </si>
  <si>
    <t>ENST00000394805,ENST00000512876,ENST00000513678,ENST00000513121,ENST00000504045,ENST00000504311,ENST00000502499,ENST00000510056,ENST00000511249,ENST00000507860,ENST00000509918,ENST00000511978,ENST00000503811,ENST00000511378,ENST00000508689,ENST00000514528,ENST00000504643,ENST00000514488,ENST00000503340,ENST00000504023,ENST00000515833,ENST00000514402,ENST00000505625,ENST00000511333,ENST00000502422,ENST00000502944,ENST00000512040</t>
  </si>
  <si>
    <t>ENSP00000378284,ENSP00000425150,ENSP00000424646,ENSP00000423290,ENSP00000422700,ENSP00000426030,ENSP00000426743,ENSP00000422649,ENSP00000423587,ENSP00000425167,ENSP00000422137,ENSP00000427557,ENSP00000426801,ENSP00000422590,ENSP00000421145,ENSP00000422054</t>
  </si>
  <si>
    <t>ENST00000217086,ENST00000395997,ENST00000483130,ENST00000481363,ENST00000371539</t>
  </si>
  <si>
    <t>ENSP00000217086,ENSP00000379319,ENSP00000360594</t>
  </si>
  <si>
    <t>ENST00000341394,ENST00000526477,ENST00000389645,ENST00000528856,ENST00000534042,ENST00000534825,ENST00000532820,ENST00000530820,ENST00000529307,ENST00000526494,ENST00000532755,ENST00000533641,ENST00000530008,ENST00000533657,ENST00000528948,ENST00000531668,ENST00000533562,ENST00000618582</t>
  </si>
  <si>
    <t>ENSP00000340329,ENSP00000374296,ENSP00000431373,ENSP00000434150,ENSP00000434204,ENSP00000431581,ENSP00000483169</t>
  </si>
  <si>
    <t>NM_001145725,NM_017816</t>
  </si>
  <si>
    <t>NP_001139197.1,NP_060286.1</t>
  </si>
  <si>
    <t>ENST00000502917,ENST00000343470,ENST00000513174,ENST00000452476</t>
  </si>
  <si>
    <t>ENSP00000345917,ENSP00000420902,ENSP00000397367</t>
  </si>
  <si>
    <t>NM_001008239,NM_145055</t>
  </si>
  <si>
    <t>NP_001008240.1,NP_659492.1</t>
  </si>
  <si>
    <t>ENST00000587591,ENST00000588730,ENST00000619230,ENST00000615052,ENST00000619301,ENST00000615553</t>
  </si>
  <si>
    <t>ENSP00000467826,ENSP00000468128,ENSP00000481626,ENSP00000480074,ENSP00000479398</t>
  </si>
  <si>
    <t>NM_001142416,NM_001142415,NM_004757</t>
  </si>
  <si>
    <t>NP_001135888.1,NP_001135887.1,NP_004748.2</t>
  </si>
  <si>
    <t>ENST00000510207,ENST00000358008,ENST00000394701,ENST00000442366</t>
  </si>
  <si>
    <t>ENSP00000423681,ENSP00000350699,ENSP00000378191,ENSP00000405248</t>
  </si>
  <si>
    <t>NM_001025595,NM_001025593,NM_014447</t>
  </si>
  <si>
    <t>NP_001020766.1,NP_001020764.1,NP_055262.1</t>
  </si>
  <si>
    <t>ENST00000451320,ENST00000429148,ENST00000405727,ENST00000356064,ENST00000510831,ENST00000509413,ENST00000511289,ENST00000513361,ENST00000514499,ENST00000510497,ENST00000353617,ENST00000618090</t>
  </si>
  <si>
    <t>ENSP00000395083,ENSP00000396653,ENSP00000384189,ENSP00000348360,ENSP00000296557,ENSP00000479111</t>
  </si>
  <si>
    <t>Homo sapiens mucin 1, cell surface associated (MUC1)</t>
  </si>
  <si>
    <t>NM_001204296,NM_001204295,NM_001204294,NM_001204292,NM_001204291,NM_001204290,NM_001204289,NM_001204288,NM_001204287,NM_001204286,NM_001204285,NM_001018016,NM_001018017,NM_001044390,NM_001044393,NM_002456</t>
  </si>
  <si>
    <t>NP_001191225.1,NP_001191224.1,NP_001191223.1,NP_001191221.1,NP_001191220.1,NP_001191219.1,NP_001191218.1,NP_001191217.1,NP_001191216.1,NP_001191215.1,NP_001191214.1,NP_001018016.1,NP_001018017.1,NP_001037855.1,NP_001037858.1,NP_002447.4</t>
  </si>
  <si>
    <t>ENST00000620103,ENST00000462317,ENST00000485118,ENST00000368392,ENST00000438413,ENST00000610468,ENST00000368393,ENST00000368389,ENST00000368396,ENST00000343256,ENST00000342482,ENST00000498431,ENST00000467134,ENST00000471283,ENST00000368398,ENST00000368390,ENST00000337604,ENST00000468978,ENST00000620770,ENST00000466913,ENST00000610359,ENST00000338684,ENST00000615517,ENST00000612778,ENST00000611577,ENST00000457295,ENST00000614519,ENST00000462215,ENST00000611571</t>
  </si>
  <si>
    <t>ENSP00000481231,ENSP00000479471,ENSP00000478068,ENSP00000357377,ENSP00000389098,ENSP00000482688,ENSP00000357378,ENSP00000357374,ENSP00000357381,ENSP00000339690,ENSP00000342814,ENSP00000483128,ENSP00000484006,ENSP00000484730,ENSP00000357383,ENSP00000357375,ENSP00000338983,ENSP00000483482,ENSP00000343482,ENSP00000483473,ENSP00000484824,ENSP00000483581,ENSP00000388172,ENSP00000482988,ENSP00000480335,ENSP00000480333</t>
  </si>
  <si>
    <t>ENST00000480479,ENST00000482621,ENST00000463260,ENST00000400809,ENST00000496007,ENST00000482365,ENST00000481223,ENST00000418865,ENST00000505849,ENST00000488340,ENST00000492998,ENST00000469113,ENST00000480646,ENST00000471930,ENST00000408918,ENST00000473872,ENST00000425598,ENST00000463895,ENST00000497013,ENST00000408952</t>
  </si>
  <si>
    <t>ENSP00000462056,ENSP00000383611,ENSP00000423734,ENSP00000424647,ENSP00000386158,ENSP00000392899,ENSP00000464685,ENSP00000386132</t>
  </si>
  <si>
    <t>NM_005348,NM_001017963</t>
  </si>
  <si>
    <t>NP_005339.3,NP_001017963.2</t>
  </si>
  <si>
    <t>ENST00000216281,ENST00000334701,ENST00000554401,ENST00000557089,ENST00000560130,ENST00000553585,ENST00000555662,ENST00000556554,ENST00000557234,ENST00000558600</t>
  </si>
  <si>
    <t>ENSP00000216281,ENSP00000335153,ENSP00000451400,ENSP00000450712,ENSP00000452241</t>
  </si>
  <si>
    <t>NM_024818,NM_198329</t>
  </si>
  <si>
    <t>NP_079094.1,NP_938143.1</t>
  </si>
  <si>
    <t>ENST00000356232,ENST00000480955,ENST00000493720,ENST00000468022,ENST00000464101,ENST00000473651,ENST00000494238,ENST00000505777,ENST00000464068,ENST00000489361,ENST00000468227,ENST00000469158,ENST00000494112,ENST00000264991</t>
  </si>
  <si>
    <t>ENSP00000348565,ENSP00000417879,ENSP00000418569,ENSP00000424984,ENSP00000418807,ENSP00000427233,ENSP00000420055,ENSP00000417905,ENSP00000264991</t>
  </si>
  <si>
    <t>NM_001030055,NM_001173</t>
  </si>
  <si>
    <t>NP_001025226.1,NP_001164.2</t>
  </si>
  <si>
    <t>ENST00000555814,ENST00000556611,ENST00000539826,ENST00000396582,ENST00000433497,ENST00000556191,ENST00000554090,ENST00000557643,ENST00000216743,ENST00000345122,ENST00000432921</t>
  </si>
  <si>
    <t>ENSP00000452372,ENSP00000452222,ENSP00000441692,ENSP00000379827,ENSP00000407395,ENSP00000451579,ENSP00000451061,ENSP00000452606,ENSP00000371897,ENSP00000393307</t>
  </si>
  <si>
    <t>ENST00000335574,ENST00000340852,ENST00000398174,ENST00000498035,ENST00000496438,ENST00000344042,ENST00000460225,ENST00000466766,ENST00000469126,ENST00000492709,ENST00000469097,ENST00000487964,ENST00000464508,ENST00000479096,ENST00000464661,ENST00000460389,ENST00000494153,ENST00000483310,ENST00000464173,ENST00000472128,ENST00000474466,ENST00000468559,ENST00000619859,ENST00000493364,ENST00000487281</t>
  </si>
  <si>
    <t>ENSP00000335294,ENSP00000343032,ENSP00000381237,ENSP00000479020,ENSP00000341347,ENSP00000479443</t>
  </si>
  <si>
    <t>NM_018299,NM_001001481,NR_073121,NR_073120,NR_073119</t>
  </si>
  <si>
    <t>NP_060769.4,NP_001001481.2,-,-,-</t>
  </si>
  <si>
    <t>ENST00000523278,ENST00000517608,ENST00000422906,ENST00000602593,ENST00000419880,ENST00000519277,ENST00000519255</t>
  </si>
  <si>
    <t>ENSP00000428835,ENSP00000428813,ENSP00000414771,ENSP00000473561,ENSP00000397453,ENSP00000430254,ENSP00000429136</t>
  </si>
  <si>
    <t>Homo sapiens actin, alpha 2, smooth muscle, aorta (ACTA2)</t>
  </si>
  <si>
    <t>NM_001613,NM_001141945</t>
  </si>
  <si>
    <t>NP_001604.1,NP_001135417.1</t>
  </si>
  <si>
    <t>ENST00000224784,ENST00000480297,ENST00000458159,ENST00000415557,ENST00000488967,ENST00000482085,ENST00000458208</t>
  </si>
  <si>
    <t>ENSP00000224784,ENSP00000398239,ENSP00000396730,ENSP00000402373</t>
  </si>
  <si>
    <t>NM_019041,NM_001114184</t>
  </si>
  <si>
    <t>NP_061914.3,NP_001107656.1</t>
  </si>
  <si>
    <t>ENST00000461949,ENST00000414771,ENST00000367233,ENST00000464135,ENST00000367231,ENST00000367230,ENST00000485512,ENST00000485283,ENST00000463251,ENST00000448966,ENST00000482526</t>
  </si>
  <si>
    <t>ENSP00000414383,ENSP00000356202,ENSP00000356200,ENSP00000356199,ENSP00000415113</t>
  </si>
  <si>
    <t>NM_002130,NM_001098272</t>
  </si>
  <si>
    <t>NP_002121.4,NP_001091742.1</t>
  </si>
  <si>
    <t>ENST00000325110,ENST00000433297,ENST00000508319,ENST00000514610,ENST00000507004,ENST00000507293,ENST00000511774</t>
  </si>
  <si>
    <t>ENSP00000322706,ENSP00000399402,ENSP00000427339</t>
  </si>
  <si>
    <t>NM_178238|NR_036570,NR_036569</t>
  </si>
  <si>
    <t>NP_839956.1|-,-</t>
  </si>
  <si>
    <t>ENST00000452089,ENST00000493091,ENST00000457519,ENST00000448382,ENST00000443526,ENST00000419749,ENST00000422808,ENST00000438028,ENST00000455145,ENST00000431140,ENST00000608825,ENST00000438231,ENST00000609309|ENST00000470714,ENST00000310771,ENST00000483329,ENST00000444874,ENST00000472646,ENST00000444073</t>
  </si>
  <si>
    <t>ENSP00000391748,ENSP00000411261,ENSP00000415775,ENSP00000403757,ENSP00000404321,ENSP00000389856,ENSP00000409411,ENSP00000402073,ENSP00000416342,ENSP00000476607,ENSP00000408425,ENSP00000477365|ENSP00000410764</t>
  </si>
  <si>
    <t>NM_001242956,NM_001011553,NM_001788</t>
  </si>
  <si>
    <t>NP_001229885.1,NP_001011553.2,NP_001779.3</t>
  </si>
  <si>
    <t>ENST00000435235,ENST00000493626,ENST00000475109,ENST00000425198,ENST00000473201,ENST00000492940,ENST00000485569,ENST00000399034,ENST00000350320,ENST00000432293,ENST00000399035</t>
  </si>
  <si>
    <t>ENSP00000413507,ENSP00000387913,ENSP00000381992,ENSP00000344868,ENSP00000444240,ENSP00000381993</t>
  </si>
  <si>
    <t>NM_001128610,NM_005154</t>
  </si>
  <si>
    <t>NP_001122082.1,NP_005145.3</t>
  </si>
  <si>
    <t>ENST00000560297,ENST00000560954,ENST00000307179,ENST00000396444,ENST00000425032,ENST00000558892,ENST00000560885,ENST00000559329,ENST00000560730,ENST00000560982,ENST00000561211,ENST00000558091,ENST00000559242,ENST00000561330,ENST00000560527,ENST00000561206,ENST00000419830,ENST00000560379,ENST00000625664</t>
  </si>
  <si>
    <t>ENSP00000453206,ENSP00000302239,ENSP00000379721,ENSP00000412682,ENSP00000454003,ENSP00000452950,ENSP00000453427,ENSP00000457345,ENSP00000454059,ENSP00000453320,ENSP00000453460,ENSP00000485810</t>
  </si>
  <si>
    <t>ENST00000368533,ENST00000368545,ENST00000469717,ENST00000330188,ENST00000341485,ENST00000341372,ENST00000328159,ENST00000509409,ENST00000271850,ENST00000312970,ENST00000513769,ENST00000302206,ENST00000368531,ENST00000323144,ENST00000368530,ENST00000504663,ENST00000509601,ENST00000505010,ENST00000368527,ENST00000473036,ENST00000466010,ENST00000515609,ENST00000611659</t>
  </si>
  <si>
    <t>ENSP00000357521,ENSP00000339035,ENSP00000341653,ENSP00000339378,ENSP00000357520,ENSP00000426521,ENSP00000271850,ENSP00000307712,ENSP00000357517,ENSP00000357518,ENSP00000357516,ENSP00000422207,ENSP00000426306,ENSP00000480520</t>
  </si>
  <si>
    <t>NM_015601,NM_022079</t>
  </si>
  <si>
    <t>NP_056416.2,NP_071362.1</t>
  </si>
  <si>
    <t>ENST00000277817,ENST00000412272,ENST00000395198,ENST00000427635,ENST00000473533,ENST00000373700,ENST00000480158,ENST00000460168,ENST00000463478,ENST00000513996,ENST00000395185,ENST00000505760,ENST00000492996,ENST00000506515,ENST00000515753</t>
  </si>
  <si>
    <t>ENSP00000277817,ENSP00000416504,ENSP00000378624,ENSP00000406171,ENSP00000423671,ENSP00000362804,ENSP00000427191,ENSP00000422383,ENSP00000426563</t>
  </si>
  <si>
    <t>Homo sapiens RNA binding motif, single stranded interacting protein 1 (RBMS1)</t>
  </si>
  <si>
    <t>NM_002897,NM_016836</t>
  </si>
  <si>
    <t>NP_002888.1,NP_058520.1</t>
  </si>
  <si>
    <t>ENST00000474820,ENST00000348849,ENST00000474147,ENST00000409075,ENST00000409289,ENST00000475103,ENST00000490637,ENST00000409972,ENST00000477965,ENST00000464200,ENST00000491781,ENST00000492283,ENST00000428519,ENST00000477486,ENST00000392753</t>
  </si>
  <si>
    <t>ENSP00000294904,ENSP00000386347,ENSP00000386571,ENSP00000387280,ENSP00000389016,ENSP00000376508</t>
  </si>
  <si>
    <t>ENST00000356577,ENST00000475072,ENST00000381692,ENST00000300278,ENST00000455528,ENST00000381679,ENST00000492229,ENST00000436227,ENST00000421541,ENST00000429093,ENST00000474355,ENST00000457208,ENST00000467616,ENST00000484294,ENST00000473102,ENST00000470533,ENST00000478183,ENST00000465834,ENST00000477419,ENST00000491794</t>
  </si>
  <si>
    <t>ENSP00000348984,ENSP00000371111,ENSP00000300278,ENSP00000399783,ENSP00000371095,ENSP00000400985,ENSP00000405807,ENSP00000401942,ENSP00000404135</t>
  </si>
  <si>
    <t>Homo sapiens SGT1, suppressor of G2 allele of SKP1 (S. cerevisiae)</t>
  </si>
  <si>
    <t>NM_001130912,NM_006704</t>
  </si>
  <si>
    <t>NP_001124384.1,NP_006695.1</t>
  </si>
  <si>
    <t>ENST00000483074,ENST00000343788,ENST00000310528,ENST00000609175</t>
  </si>
  <si>
    <t>ENSP00000367208,ENSP00000308067</t>
  </si>
  <si>
    <t>Homo sapiens zinc finger protein 876, pseudogene (ZNF876P)</t>
  </si>
  <si>
    <t>ENST00000356347,ENST00000398732</t>
  </si>
  <si>
    <t>Homo sapiens POTE ankyrin domain family, member M (POTEM)</t>
  </si>
  <si>
    <t>ENST00000552966,ENST00000547889,ENST00000616847</t>
  </si>
  <si>
    <t>ENSP00000448581,ENSP00000448062,ENSP00000483980</t>
  </si>
  <si>
    <t>ENST00000296877,ENST00000483190,ENST00000485457</t>
  </si>
  <si>
    <t>ENST00000331410,ENST00000483089,ENST00000481472,ENST00000448667,ENST00000488485,ENST00000493485,ENST00000447047,ENST00000379724,ENST00000465438,ENST00000468705,ENST00000481108,ENST00000494186</t>
  </si>
  <si>
    <t>ENSP00000331927,ENSP00000417227,ENSP00000405206,ENSP00000419500,ENSP00000401255,ENSP00000369047</t>
  </si>
  <si>
    <t>ENST00000356770,ENST00000394830,ENST00000296302,ENST00000337303,ENST00000412587,ENST00000409057,ENST00000410007,ENST00000409114,ENST00000409767,ENST00000423351,ENST00000462207,ENST00000446103,ENST00000480064,ENST00000431678,ENST00000420148,ENST00000449505,ENST00000450271,ENST00000439181,ENST00000458294,ENST00000424867</t>
  </si>
  <si>
    <t>ENSP00000349213,ENSP00000378307,ENSP00000296302,ENSP00000338302,ENSP00000404579,ENSP00000386593,ENSP00000386529,ENSP00000386643,ENSP00000386601,ENSP00000387775,ENSP00000397662,ENSP00000409939,ENSP00000389390,ENSP00000412401,ENSP00000416851,ENSP00000404635,ENSP00000411895,ENSP00000397399</t>
  </si>
  <si>
    <t>NM_018300,NM_001105551,NM_001105552,NM_001105550,NM_001105549</t>
  </si>
  <si>
    <t>NP_060770.3,NP_001099021.1,NP_001099022.1,NP_001099020.1,NP_001099019.1</t>
  </si>
  <si>
    <t>ENST00000600714,ENST00000601257,ENST00000597597,ENST00000541777,ENST00000545872,ENST00000594682,ENST00000595939,ENST00000596930,ENST00000597161,ENST00000598536,ENST00000601140,ENST00000595171,ENST00000601237,ENST00000596440,ENST00000602232,ENST00000600457,ENST00000598190,ENST00000301096,ENST00000536937</t>
  </si>
  <si>
    <t>ENSP00000472392,ENSP00000471703,ENSP00000472619,ENSP00000439681,ENSP00000440713,ENSP00000472147,ENSP00000471100,ENSP00000471352,ENSP00000473096,ENSP00000469259,ENSP00000472092,ENSP00000301096,ENSP00000445993</t>
  </si>
  <si>
    <t>NM_001242336,NM_001135037,NM_005927</t>
  </si>
  <si>
    <t>NP_001229265.1,NP_001128509.1,NP_005918.1</t>
  </si>
  <si>
    <t>ENST00000522782,ENST00000439768,ENST00000520327,ENST00000521527,ENST00000322602,ENST00000522177,ENST00000520899,ENST00000519928,ENST00000522440,ENST00000518497,ENST00000519612,ENST00000519325</t>
  </si>
  <si>
    <t>ENSP00000430852,ENSP00000414219,ENSP00000322956,ENSP00000430602,ENSP00000430007</t>
  </si>
  <si>
    <t>ENST00000324817,ENST00000416199,ENST00000433003,ENST00000472736,ENST00000496531,ENST00000482034,ENST00000492219,ENST00000495865,ENST00000463072</t>
  </si>
  <si>
    <t>ENSP00000323720,ENSP00000392586,ENSP00000411357</t>
  </si>
  <si>
    <t>PREDICTED: Homo sapiens protein phosphatase, Mg2+/Mn2+ dependent, 1B (PPM1B)</t>
  </si>
  <si>
    <t>XM_011532936,NM_177969,NM_177968,NM_002706,NM_001033557</t>
  </si>
  <si>
    <t>XP_011531238.1,NP_808908.1,NP_808907.1,NP_002697.1,NP_001028729.1</t>
  </si>
  <si>
    <t>Homo sapiens family with sequence similarity 153, member A (FAM153A)|Homo sapiens family with sequence similarity 153, member B (FAM153B)</t>
  </si>
  <si>
    <t>ENST00000506011,ENST00000360669,ENST00000509607,ENST00000514899,ENST00000510276,ENST00000512544,ENST00000440605,ENST00000513554,ENST00000505531,ENST00000512612,ENST00000515787,ENST00000503845,ENST00000504518,ENST00000505683,ENST00000503909,ENST00000507615,ENST00000506354,ENST00000503567,ENST00000503136,ENST00000513363,ENST00000506229,ENST00000393518,ENST00000614127|ENST00000611539</t>
  </si>
  <si>
    <t>ENSP00000353887,ENSP00000422174,ENSP00000411506,ENSP00000426689,ENSP00000421623,ENSP00000425931,ENSP00000424904,ENSP00000423766,ENSP00000425021,ENSP00000377153,ENSP00000481950|ENSP00000481297</t>
  </si>
  <si>
    <t>Homo sapiens family with sequence similarity 135, member A (FAM135A)</t>
  </si>
  <si>
    <t>NM_001162529,NM_020819,NM_001105531</t>
  </si>
  <si>
    <t>NP_001156001.1,NP_065870.3,NP_001099001.1</t>
  </si>
  <si>
    <t>ENST00000514185,ENST00000418814,ENST00000505769,ENST00000515323,ENST00000508844,ENST00000515280,ENST00000507085,ENST00000457062,ENST00000361499,ENST00000194672,ENST00000505868,ENST00000393299,ENST00000425415,ENST00000507049,ENST00000505675,ENST00000370479</t>
  </si>
  <si>
    <t>ENSP00000410768,ENSP00000423785,ENSP00000422406,ENSP00000421505,ENSP00000425101,ENSP00000409201,ENSP00000354913,ENSP00000194672,ENSP00000423307,ENSP00000359510</t>
  </si>
  <si>
    <t>Homo sapiens nuclear transcription factor, X-box binding 1 (NFX1)</t>
  </si>
  <si>
    <t>NM_147134,NM_147133</t>
  </si>
  <si>
    <t>NP_667345.1,NP_667344.1</t>
  </si>
  <si>
    <t>ENST00000379540,ENST00000379521,ENST00000318524,ENST00000466359,ENST00000466971,ENST00000463421</t>
  </si>
  <si>
    <t>ENSP00000368856,ENSP00000368836,ENSP00000317695</t>
  </si>
  <si>
    <t>NM_001205029,NM_020128</t>
  </si>
  <si>
    <t>NP_001191958.1,NP_064513.1</t>
  </si>
  <si>
    <t>ENST00000357874,ENST00000540418,ENST00000303145,ENST00000539972,ENST00000411698,ENST00000536313,ENST00000545964,ENST00000538454,ENST00000536997,ENST00000540476,ENST00000541686,ENST00000393543,ENST00000430606,ENST00000545724,ENST00000541087</t>
  </si>
  <si>
    <t>ENSP00000350544,ENSP00000443815,ENSP00000302537,ENSP00000445181,ENSP00000391006,ENSP00000446000,ENSP00000377175,ENSP00000408694</t>
  </si>
  <si>
    <t>NM_001025930,NR_037162|NM_001198793</t>
  </si>
  <si>
    <t>NP_001021100.3,-|NP_001185722.1</t>
  </si>
  <si>
    <t>ENST00000414814,ENST00000452597,ENST00000419081,ENST00000438596,ENST00000459758,ENST00000417065,ENST00000439814,ENST00000418745,ENST00000430718,ENST00000427220,ENST00000426895,ENST00000426827,ENST00000431204,ENST00000422738,ENST00000430390,ENST00000483051,ENST00000310252,ENST00000496526,ENST00000496246,ENST00000474948,ENST00000452823,ENST00000443148,ENST00000383827,ENST00000473661,ENST00000455274,ENST00000438141,ENST00000430793,ENST00000602338,ENST00000482269,ENST00000492440,ENST00000466245,ENST00000471058,ENST00000493241|ENST00000418163,ENST00000424442,ENST00000397256,ENST00000453882</t>
  </si>
  <si>
    <t>ENSP00000399930,ENSP00000399782,ENSP00000401686,ENSP00000414965,ENSP00000408128,ENSP00000394481,ENSP00000400462,ENSP00000402197,ENSP00000395912,ENSP00000392549,ENSP00000389904,ENSP00000398996,ENSP00000412915,ENSP00000396606,ENSP00000312148,ENSP00000473440,ENSP00000473376,ENSP00000399191,ENSP00000398097,ENSP00000373338,ENSP00000430051,ENSP00000409632,ENSP00000409246,ENSP00000403874,ENSP00000473314|ENSP00000402163,ENSP00000412284,ENSP00000380427,ENSP00000393764</t>
  </si>
  <si>
    <t>Homo sapiens protein phosphatase 6, regulatory subunit 3 (PPP6R3)</t>
  </si>
  <si>
    <t>NM_001164164,NM_001164163,NM_001164162,NM_001164161,NM_001164160,NM_018312</t>
  </si>
  <si>
    <t>NP_001157636.1,NP_001157635.1,NP_001157634.1,NP_001157633.1,NP_001157632.1,NP_060782.2</t>
  </si>
  <si>
    <t>ENST00000530427,ENST00000393800,ENST00000528635,ENST00000533127,ENST00000529907,ENST00000529344,ENST00000534534,ENST00000524845,ENST00000265637,ENST00000524904,ENST00000393801,ENST00000265636,ENST00000529710,ENST00000527403,ENST00000525050,ENST00000527069,ENST00000531244,ENST00000529172,ENST00000531432,ENST00000534190,ENST00000526574,ENST00000525421,ENST00000526307,ENST00000526593,ENST00000525152,ENST00000530734</t>
  </si>
  <si>
    <t>ENSP00000377389,ENSP00000436789,ENSP00000433768,ENSP00000431738,ENSP00000433551,ENSP00000434429,ENSP00000431415,ENSP00000265637,ENSP00000433058,ENSP00000377390,ENSP00000265636,ENSP00000437329,ENSP00000433565,ENSP00000432837,ENSP00000436209,ENSP00000434426,ENSP00000436601,ENSP00000433853</t>
  </si>
  <si>
    <t>ENST00000320717,ENST00000338435,ENST00000479552,ENST00000496170,ENST00000469774,ENST00000417154,ENST00000461965,ENST00000468352,ENST00000495444,ENST00000409626,ENST00000457316,ENST00000409428,ENST00000409215,ENST00000412247,ENST00000471443</t>
  </si>
  <si>
    <t>ENSP00000317379,ENSP00000340689,ENSP00000388990,ENSP00000386417,ENSP00000395596,ENSP00000387177,ENSP00000387135,ENSP00000403329</t>
  </si>
  <si>
    <t>ENST00000471236,ENST00000383657,ENST00000493515,ENST00000480081,ENST00000469317</t>
  </si>
  <si>
    <t>ENSP00000373153,ENSP00000417567,ENSP00000419237</t>
  </si>
  <si>
    <t>ENST00000448280,ENST00000297161,ENST00000496609,ENST00000436222,ENST00000444773,ENST00000494786,ENST00000476525</t>
  </si>
  <si>
    <t>ENSP00000398835,ENSP00000297161,ENSP00000399843,ENSP00000409998</t>
  </si>
  <si>
    <t>ENST00000332047,ENST00000354446,ENST00000514412,ENST00000511574,ENST00000504013,ENST00000383229,ENST00000512894,ENST00000513612,ENST00000606977,ENST00000508778,ENST00000510625,ENST00000504929,ENST00000514678,ENST00000513295,ENST00000337090,ENST00000620544</t>
  </si>
  <si>
    <t>ENSP00000328382,ENSP00000346432,ENSP00000424626,ENSP00000372716,ENSP00000423225,ENSP00000426129,ENSP00000475903,ENSP00000422685,ENSP00000426866,ENSP00000427526,ENSP00000336524,ENSP00000482219</t>
  </si>
  <si>
    <t>NM_001032284,NM_001032283</t>
  </si>
  <si>
    <t>NP_001027455.1,NP_001027454.1</t>
  </si>
  <si>
    <t>ENST00000556029,ENST00000548911,ENST00000343315,ENST00000266732,ENST00000393053,ENST00000546828,ENST00000261210,ENST00000549938,ENST00000552831,ENST00000547214,ENST00000556678,ENST00000548223,ENST00000551987</t>
  </si>
  <si>
    <t>ENSP00000450627,ENSP00000340251,ENSP00000266732,ENSP00000376773,ENSP00000261210,ENSP00000451552</t>
  </si>
  <si>
    <t>ENST00000336735,ENST00000554293,ENST00000555923,ENST00000554744,ENST00000555824,ENST00000557372</t>
  </si>
  <si>
    <t>ENSP00000337053,ENSP00000450709,ENSP00000451144</t>
  </si>
  <si>
    <t>ENST00000508803,ENST00000507820,ENST00000508355,ENST00000514045,ENST00000515806,ENST00000353275,ENST00000420906,ENST00000312087,ENST00000382895,ENST00000503128,ENST00000509115,ENST00000512700,ENST00000511904,ENST00000513726,ENST00000482415,ENST00000514329,ENST00000502425,ENST00000505643,ENST00000382888,ENST00000503207,ENST00000507094,ENST00000515695,ENST00000508299,ENST00000382891,ENST00000398261,ENST00000382892,ENST00000436793</t>
  </si>
  <si>
    <t>ENSP00000423972,ENSP00000421551,ENSP00000421681,ENSP00000427434,ENSP00000329167,ENSP00000399251,ENSP00000308780,ENSP00000372351,ENSP00000425761,ENSP00000422878,ENSP00000427516,ENSP00000424482,ENSP00000425094,ENSP00000372344,ENSP00000372347,ENSP00000381311,ENSP00000372348,ENSP00000416725</t>
  </si>
  <si>
    <t>ENST00000361948,ENST00000552912,ENST00000242591,ENST00000546374,ENST00000550156,ENST00000551273,ENST00000549009,ENST00000551055,ENST00000550748</t>
  </si>
  <si>
    <t>ENSP00000355372,ENSP00000449718,ENSP00000242591,ENSP00000446950,ENSP00000446895,ENSP00000449964</t>
  </si>
  <si>
    <t>NM_001256428,NM_001256427,NM_001256426,NM_001256425,NM_001011513,NM_006457</t>
  </si>
  <si>
    <t>NP_001243357.1,NP_001243356.1,NP_001243355.1,NP_001243354.1,NP_001011513.3,NP_006448.4</t>
  </si>
  <si>
    <t>NM_033295,NM_033294,NM_033293,NM_001223,NM_033292</t>
  </si>
  <si>
    <t>NP_150637.1,NP_150636.1,NP_150635.1,NP_001214.1,NP_150634.1</t>
  </si>
  <si>
    <t>ENST00000355710,ENST00000498820,ENST00000340058,ENST00000479913,ENST00000615310</t>
  </si>
  <si>
    <t>ENSP00000347942,ENSP00000419080,ENSP00000344798,ENSP00000480088</t>
  </si>
  <si>
    <t>NM_001173525,NM_001042370,NM_001042369</t>
  </si>
  <si>
    <t>NP_001166996.1,NP_001035829.2,NP_001035828.1</t>
  </si>
  <si>
    <t>Homo sapiens ankyrin 2, neuronal (ANK2)</t>
  </si>
  <si>
    <t>NM_001127493,NM_020977,NM_001148</t>
  </si>
  <si>
    <t>NP_001120965.1,NP_066187.2,NP_001139.3</t>
  </si>
  <si>
    <t>ENST00000503271,ENST00000503423,ENST00000506722,ENST00000504454,ENST00000514246,ENST00000394537,ENST00000357077,ENST00000264366,ENST00000508613,ENST00000512999,ENST00000511380,ENST00000515034,ENST00000509550,ENST00000502701,ENST00000515644,ENST00000514960,ENST00000514160,ENST00000504887,ENST00000504415,ENST00000510275,ENST00000508007,ENST00000512298,ENST00000505342,ENST00000506344,ENST00000514167,ENST00000612754</t>
  </si>
  <si>
    <t>ENSP00000423799,ENSP00000421011,ENSP00000421067,ENSP00000424722,ENSP00000378044,ENSP00000349588,ENSP00000264366,ENSP00000422900,ENSP00000425775,ENSP00000421059,ENSP00000426944,ENSP00000422853,ENSP00000426994,ENSP00000421023,ENSP00000422498,ENSP00000422888,ENSP00000422486,ENSP00000482888</t>
  </si>
  <si>
    <t>NM_001754,NM_001001890</t>
  </si>
  <si>
    <t>NP_001745.2,NP_001001890.1</t>
  </si>
  <si>
    <t>Homo sapiens tumor necrosis factor receptor superfamily, member 19 (TNFRSF19)</t>
  </si>
  <si>
    <t>ENST00000248484,ENST00000464735,ENST00000382258,ENST00000382263,ENST00000403372</t>
  </si>
  <si>
    <t>ENSP00000248484,ENSP00000371693,ENSP00000371698,ENSP00000385408</t>
  </si>
  <si>
    <t>ENST00000297540,ENST00000514725,ENST00000505674,ENST00000511371,ENST00000513813</t>
  </si>
  <si>
    <t>ENST00000539294,ENST00000522282,ENST00000519428,ENST00000621957,ENST00000517371,ENST00000615676,ENST00000621413,ENST00000612880,ENST00000617952,ENST00000619337,ENST00000621890,ENST00000613853,ENST00000621820,ENST00000518373,ENST00000623280,ENST00000617200</t>
  </si>
  <si>
    <t>ENSP00000473496,ENSP00000483580,ENSP00000473986,ENSP00000483267,ENSP00000478490,ENSP00000480086,ENSP00000478356,ENSP00000478398,ENSP00000478825,ENSP00000483659,ENSP00000481476,ENSP00000485046,ENSP00000481497</t>
  </si>
  <si>
    <t>ENST00000493686,ENST00000393909,ENST00000358788,ENST00000409374,ENST00000476622,ENST00000492255,ENST00000453233</t>
  </si>
  <si>
    <t>ENSP00000377486,ENSP00000351639,ENSP00000387284,ENSP00000474821,ENSP00000475090,ENSP00000406267</t>
  </si>
  <si>
    <t>ENST00000271277,ENST00000441739,ENST00000502356,ENST00000607039</t>
  </si>
  <si>
    <t>ENSP00000271277,ENSP00000390976</t>
  </si>
  <si>
    <t>ENSP00000378897,ENSP00000476827,ENSP00000329886,ENSP00000476403,ENSP00000388206,ENSP00000392766|ENSP00000363119,ENSP00000363118</t>
  </si>
  <si>
    <t>NM_001243541,NM_001243540</t>
  </si>
  <si>
    <t>NP_001230470.1,NP_001230469.1</t>
  </si>
  <si>
    <t>ENST00000586713,ENST00000322630,ENST00000590267,ENST00000587052,ENST00000619342</t>
  </si>
  <si>
    <t>ENSP00000465968,ENSP00000312767,ENSP00000483863</t>
  </si>
  <si>
    <t>ENST00000262101,ENST00000445506,ENST00000355282,ENST00000522672,ENST00000381998,ENST00000519060,ENST00000518960,ENST00000518026,ENST00000521876,ENST00000518343,ENST00000517522,ENST00000520846,ENST00000522130,ENST00000350896</t>
  </si>
  <si>
    <t>ENSP00000262101,ENSP00000405453,ENSP00000347430,ENSP00000430536,ENSP00000371428,ENSP00000428865,ENSP00000427905,ENSP00000429498,ENSP00000262100</t>
  </si>
  <si>
    <t>NM_001204148,NM_001204147,NM_001204146,NM_001204145,NM_001204144,NM_014707</t>
  </si>
  <si>
    <t>NP_001191077.1,NP_001191076.1,NP_001191075.1,NP_001191074.1,NP_001191073.1,NP_055522.1</t>
  </si>
  <si>
    <t>ENST00000417496,ENST00000455069,ENST00000425071,ENST00000433709,ENST00000411993,ENST00000413509,ENST00000461159,ENST00000474742,ENST00000413380,ENST00000430454,ENST00000476135,ENST00000405010,ENST00000406451,ENST00000428307,ENST00000461409,ENST00000406072,ENST00000446646,ENST00000401921,ENST00000523867,ENST00000432645,ENST00000441542,ENST00000441986,ENST00000471887,ENST00000456174,ENST00000524023,ENST00000490851,ENST00000483142,ENST00000496026,ENST00000622668</t>
  </si>
  <si>
    <t>ENSP00000401669,ENSP00000409003,ENSP00000412497,ENSP00000392564,ENSP00000411422,ENSP00000384382,ENSP00000384657,ENSP00000395655,ENSP00000384017,ENSP00000415095,ENSP00000383912,ENSP00000410337,ENSP00000408617,ENSP00000404763,ENSP00000388568,ENSP00000430036,ENSP00000478829</t>
  </si>
  <si>
    <t>ENST00000377093,ENST00000263934,ENST00000377086,ENST00000377083,ENST00000377081,ENST00000495136,ENST00000497835,ENST00000465635,ENST00000483340,ENST00000470616,ENST00000620295,ENST00000622724</t>
  </si>
  <si>
    <t>ENSP00000366297,ENSP00000263934,ENSP00000366290,ENSP00000366287,ENSP00000366284,ENSP00000478500,ENSP00000480063</t>
  </si>
  <si>
    <t>Homo sapiens protein phosphatase, Mg2+/Mn2+ dependent, 1A (PPM1A)</t>
  </si>
  <si>
    <t>ENST00000325642,ENST00000531143,ENST00000532036,ENST00000395076,ENST00000325658,ENST00000528241,ENST00000525399,ENST00000531937</t>
  </si>
  <si>
    <t>ENSP00000327255,ENSP00000437200,ENSP00000436445,ENSP00000378514,ENSP00000314850,ENSP00000431453,ENSP00000435398,ENSP00000435575</t>
  </si>
  <si>
    <t>Homo sapiens spectrin, beta, non-erythrocytic 1 (SPTBN1)</t>
  </si>
  <si>
    <t>ENST00000356805,ENST00000389980,ENST00000602898,ENST00000333896,ENST00000496323,ENST00000467371,ENST00000615901</t>
  </si>
  <si>
    <t>ENSP00000349259,ENSP00000374630,ENSP00000334156,ENSP00000479037</t>
  </si>
  <si>
    <t>Homo sapiens La ribonucleoprotein domain family, member 1B (LARP1B)</t>
  </si>
  <si>
    <t>ENST00000326639,ENST00000512292,ENST00000508819,ENST00000394288,ENST00000432347,ENST00000507377,ENST00000507259,ENST00000508648,ENST00000506199,ENST00000503725</t>
  </si>
  <si>
    <t>ENSP00000321997,ENSP00000422850,ENSP00000427281,ENSP00000377829,ENSP00000390395,ENSP00000424383,ENSP00000423686</t>
  </si>
  <si>
    <t>ENST00000269187,ENST00000590986,ENST00000440549,ENST00000586829</t>
  </si>
  <si>
    <t>ENSP00000269187,ENSP00000465915,ENSP00000401139,ENSP00000467724</t>
  </si>
  <si>
    <t>ENST00000399353,ENST00000444491,ENST00000470742,ENST00000381318,ENST00000381291,ENST00000399367,ENST00000399352,ENST00000399355,ENST00000399349,ENST00000451686,ENST00000381283,ENST00000456489,ENST00000488166,ENST00000474132,ENST00000419241,ENST00000440794,ENST00000465143,ENST00000487427,ENST00000437126,ENST00000428240,ENST00000472548,ENST00000479424,ENST00000462212,ENST00000495656,ENST00000475422,ENST00000489261,ENST00000381284,ENST00000420666,ENST00000415023,ENST00000437442,ENST00000379960,ENST00000381285,ENST00000399338</t>
  </si>
  <si>
    <t>ENSP00000382290,ENSP00000400079,ENSP00000370719,ENSP00000370691,ENSP00000382301,ENSP00000382289,ENSP00000382292,ENSP00000382286,ENSP00000407132,ENSP00000370683,ENSP00000411464,ENSP00000415302,ENSP00000396054,ENSP00000413290,ENSP00000370684,ENSP00000408319,ENSP00000409800,ENSP00000387377,ENSP00000369294,ENSP00000370685,ENSP00000382275</t>
  </si>
  <si>
    <t>NM_183043,NM_183044,NM_005977</t>
  </si>
  <si>
    <t>NP_898864.1,NP_898865.1,NP_005968.1</t>
  </si>
  <si>
    <t>ENST00000468480,ENST00000346166,ENST00000381588,ENST00000381570,ENST00000498039,ENST00000476347,ENST00000474280</t>
  </si>
  <si>
    <t>ENSP00000342121,ENSP00000371000,ENSP00000370982</t>
  </si>
  <si>
    <t>Homo sapiens TBC1 domain family, member 2B pseudogene (LOC646938)</t>
  </si>
  <si>
    <t>Homo sapiens protocadherin alpha subfamily C, 1 (PCDHAC1)</t>
  </si>
  <si>
    <t>ENST00000409700,ENST00000253807</t>
  </si>
  <si>
    <t>ENSP00000386356,ENSP00000253807</t>
  </si>
  <si>
    <t>ENST00000502346,ENST00000511450,ENST00000511118,ENST00000504622,ENST00000509770,ENST00000503892</t>
  </si>
  <si>
    <t>ENST00000514898,ENST00000503876,ENST00000417478,ENST00000381006,ENST00000226328,ENST00000513597,ENST00000502653,ENST00000504805,ENST00000512103,ENST00000507333,ENST00000503025,ENST00000512331,ENST00000515479,ENST00000515442,ENST00000513593</t>
  </si>
  <si>
    <t>ENSP00000426165,ENSP00000426734,ENSP00000399771,ENSP00000370394,ENSP00000226328,ENSP00000425574,ENSP00000425400,ENSP00000421120,ENSP00000420980</t>
  </si>
  <si>
    <t>NM_001160225,NM_030954,NM_001160223,NR_027669,NR_027668</t>
  </si>
  <si>
    <t>NP_001153697.1,NP_112216.3,NP_001153695.1,-,-</t>
  </si>
  <si>
    <t>ENST00000319104,ENST00000527424,ENST00000240159,ENST00000526349,ENST00000528318,ENST00000531440,ENST00000524954,ENST00000534961,ENST00000319073</t>
  </si>
  <si>
    <t>ENSP00000326138,ENSP00000434797,ENSP00000240159,ENSP00000435782,ENSP00000436416,ENSP00000437146,ENSP00000445725,ENSP00000325969</t>
  </si>
  <si>
    <t>NM_001199782,NM_001199781|NM_003774</t>
  </si>
  <si>
    <t>NP_001186711.1,NP_001186710.1|NP_003765.2</t>
  </si>
  <si>
    <t>ENST00000548729,ENST00000547474|ENST00000529983</t>
  </si>
  <si>
    <t>ENSP00000447852,ENSP00000447754|ENSP00000436604</t>
  </si>
  <si>
    <t>NM_001102576,NM_153478</t>
  </si>
  <si>
    <t>NP_001096046.2,NP_705611.2</t>
  </si>
  <si>
    <t>ENST00000370291,ENST00000361211,ENST00000370287,ENST00000452779</t>
  </si>
  <si>
    <t>ENSP00000359314,ENSP00000354898,ENSP00000359310,ENSP00000396520</t>
  </si>
  <si>
    <t>ENST00000373049,ENST00000324765,ENST00000373061,ENST00000355827,ENST00000373054</t>
  </si>
  <si>
    <t>ENSP00000362140,ENSP00000321348,ENSP00000362152,ENSP00000348082,ENSP00000362145</t>
  </si>
  <si>
    <t>ENST00000367800,ENST00000457866,ENST00000475846,ENST00000498558,ENST00000367799,ENST00000527681,ENST00000265602,ENST00000487135,ENST00000533029,ENST00000531788,ENST00000327035,ENST00000529865,ENST00000524469,ENST00000488690,ENST00000528103,ENST00000534469,ENST00000531527</t>
  </si>
  <si>
    <t>ENSP00000356774,ENSP00000388650,ENSP00000435710,ENSP00000356773,ENSP00000433864,ENSP00000265602,ENSP00000432167,ENSP00000322478,ENSP00000434697,ENSP00000433063,ENSP00000433017,ENSP00000436071,ENSP00000436516</t>
  </si>
  <si>
    <t>NM_001010933,NM_001010931</t>
  </si>
  <si>
    <t>NP_001010933.1,NP_001010931.1</t>
  </si>
  <si>
    <t>ENST00000370388,ENST00000471312</t>
  </si>
  <si>
    <t>NM_001083914,NM_001329,NM_022802</t>
  </si>
  <si>
    <t>NP_001077383.1,NP_001320.1,NP_073713.2</t>
  </si>
  <si>
    <t>ENST00000337195,ENST00000309035,ENST00000334808,ENST00000531469,ENST00000494626,ENST00000411419,ENST00000395705,ENST00000486955,ENST00000460976,ENST00000493552,ENST00000476817,ENST00000530884,ENST00000530930,ENST00000467395</t>
  </si>
  <si>
    <t>ENSP00000338615,ENSP00000311825,ENSP00000357816,ENSP00000434630,ENSP00000436285,ENSP00000410474,ENSP00000481909,ENSP00000434424</t>
  </si>
  <si>
    <t>NM_001207064,NM_001338,NM_001207065,NM_001207063</t>
  </si>
  <si>
    <t>NP_001193993.1,NP_001329.1,NP_001193994.1,NP_001193992.1</t>
  </si>
  <si>
    <t>ENST00000284878,ENST00000400166,ENST00000356275,ENST00000400165,ENST00000400169</t>
  </si>
  <si>
    <t>ENSP00000284878,ENSP00000383030,ENSP00000348620,ENSP00000383029,ENSP00000383033</t>
  </si>
  <si>
    <t>Homo sapiens GA binding protein transcription factor, alpha subunit 60kDa (GABPA)</t>
  </si>
  <si>
    <t>NM_001197297,NM_002040</t>
  </si>
  <si>
    <t>NP_001184226.1,NP_002031.2</t>
  </si>
  <si>
    <t>ENST00000354828,ENST00000400075,ENST00000487266</t>
  </si>
  <si>
    <t>ENSP00000346886,ENSP00000382948</t>
  </si>
  <si>
    <t>Homo sapiens inter-alpha-trypsin inhibitor heavy chain family, member 4 (ITIH4)</t>
  </si>
  <si>
    <t>NM_001166449,NM_002218</t>
  </si>
  <si>
    <t>NP_001159921.1,NP_002209.2</t>
  </si>
  <si>
    <t>ENST00000266041,ENST00000485816,ENST00000406595,ENST00000464000,ENST00000441637,ENST00000491663,ENST00000461966,ENST00000481977,ENST00000537897,ENST00000471505,ENST00000484632,ENST00000485894,ENST00000467462,ENST00000483372,ENST00000473904</t>
  </si>
  <si>
    <t>ENSP00000266041,ENSP00000417824,ENSP00000384425,ENSP00000395634</t>
  </si>
  <si>
    <t>NM_001193488,NM_001193484,NM_001193482,NM_001193485,NM_004987,NM_001193483</t>
  </si>
  <si>
    <t>NP_001180417.1,NP_001180413.1,NP_001180411.1,NP_001180414.1,NP_004978.2,NP_001180412.1</t>
  </si>
  <si>
    <t>NM_001172712,NM_001017371,NM_003111</t>
  </si>
  <si>
    <t>NP_001166183.1,NP_001017371.3,NP_003102.1</t>
  </si>
  <si>
    <t>ENST00000310015,ENST00000418194,ENST00000416195,ENST00000465379,ENST00000462904,ENST00000483084,ENST00000490182</t>
  </si>
  <si>
    <t>ENSP00000310301,ENSP00000406140,ENSP00000413665</t>
  </si>
  <si>
    <t>NM_001130701,NM_145251</t>
  </si>
  <si>
    <t>NP_001124173.1,NP_660294.1</t>
  </si>
  <si>
    <t>ENST00000442123,ENST00000354586,ENST00000556861</t>
  </si>
  <si>
    <t>ENSP00000403214,ENSP00000346599</t>
  </si>
  <si>
    <t>ENST00000521138,ENST00000260116</t>
  </si>
  <si>
    <t>NM_001254752,NM_001199975,NM_006294,NR_045639</t>
  </si>
  <si>
    <t>NP_001241681.1,NP_001186904.1,NP_006285.1,-</t>
  </si>
  <si>
    <t>ENST00000287022,ENST00000517603,ENST00000521036,ENST00000518876,ENST00000517523,ENST00000518406,ENST00000521948,ENST00000523920,ENST00000519322</t>
  </si>
  <si>
    <t>ENSP00000287022,ENSP00000430672,ENSP00000427862,ENSP00000429787,ENSP00000430494,ENSP00000430560</t>
  </si>
  <si>
    <t>NM_003506,NM_001164616,NM_001164615</t>
  </si>
  <si>
    <t>NP_003497.2,NP_001158088.1,NP_001158087.1</t>
  </si>
  <si>
    <t>ENST00000522566,ENST00000522484,ENST00000523933,ENST00000523739,ENST00000519011,ENST00000521195,ENST00000358755</t>
  </si>
  <si>
    <t>ENSP00000429055,ENSP00000428301,ENSP00000428257,ENSP00000429528,ENSP00000427733,ENSP00000428188,ENSP00000351605</t>
  </si>
  <si>
    <t>NM_001134369,NM_006309,NM_017724</t>
  </si>
  <si>
    <t>NP_001127841.1,NP_006300.1,NP_060194.1</t>
  </si>
  <si>
    <t>ENST00000354379,ENST00000336686,ENST00000460646,ENST00000421276,ENST00000496479,ENST00000396428,ENST00000440230,ENST00000440742,ENST00000487246,ENST00000416425,ENST00000481682,ENST00000461672,ENST00000438374,ENST00000434749,ENST00000436858,ENST00000452742,ENST00000482466,ENST00000490597,ENST00000496825,ENST00000483306</t>
  </si>
  <si>
    <t>ENSP00000346349,ENSP00000338727,ENSP00000416364,ENSP00000379705,ENSP00000405480,ENSP00000413026,ENSP00000409574,ENSP00000412206,ENSP00000416907,ENSP00000416013,ENSP00000391360</t>
  </si>
  <si>
    <t>ENST00000594154,ENST00000221315,ENST00000600368,ENST00000598745,ENST00000597273,ENST00000601310,ENST00000598446</t>
  </si>
  <si>
    <t>ENSP00000470488,ENSP00000221315,ENSP00000471172,ENSP00000471244,ENSP00000470341,ENSP00000472337</t>
  </si>
  <si>
    <t>NM_001252328,NM_001168377,NM_001168376,NM_001168374,NM_014809,NM_001168375</t>
  </si>
  <si>
    <t>NP_001239257.1,NP_001161849.1,NP_001161848.1,NP_001161846.1,NP_055624.2,NP_001161847.1</t>
  </si>
  <si>
    <t>ENST00000378214,ENST00000543707,ENST00000430948,ENST00000616673,ENST00000537886,ENST00000535378</t>
  </si>
  <si>
    <t>ENSP00000367459,ENSP00000437656,ENSP00000401086,ENSP00000483665,ENSP00000439700,ENSP00000442403</t>
  </si>
  <si>
    <t>NM_001142327,NM_001142326,NM_021145,NR_024550,NR_024549</t>
  </si>
  <si>
    <t>NP_001135799.1,NP_001135798.1,NP_066968.3,-,-</t>
  </si>
  <si>
    <t>ENST00000331242,ENST00000413276,ENST00000447863,ENST00000579677,ENST00000446796,ENST00000425406,ENST00000420131,ENST00000414630,ENST00000547146,ENST00000579850,ENST00000453049,ENST00000428819,ENST00000448598,ENST00000449088,ENST00000430405,ENST00000432937,ENST00000584619,ENST00000432366,ENST00000423590,ENST00000394703,ENST00000584457,ENST00000580710,ENST00000579592,ENST00000434534,ENST00000583751,ENST00000582925,ENST00000412139,ENST00000425705,ENST00000583833,ENST00000473521,ENST00000582887,ENST00000578926,ENST00000480982,ENST00000580803,ENST00000488352,ENST00000454008,ENST00000582204,ENST00000580010</t>
  </si>
  <si>
    <t>ENSP00000332171,ENSP00000402627,ENSP00000389774,ENSP00000464596,ENSP00000401129,ENSP00000411908,ENSP00000406384,ENSP00000411858,ENSP00000448775,ENSP00000463638,ENSP00000397490,ENSP00000413118,ENSP00000412734,ENSP00000387712,ENSP00000416307,ENSP00000412532,ENSP00000464092,ENSP00000415382,ENSP00000413722,ENSP00000378193,ENSP00000463735,ENSP00000393370,ENSP00000461920,ENSP00000407941,ENSP00000416499,ENSP00000410288,ENSP00000463239</t>
  </si>
  <si>
    <t>ENST00000367837,ENST00000527005,ENST00000527578,ENST00000415177,ENST00000367826,ENST00000533274,ENST00000526100,ENST00000529169,ENST00000529641,ENST00000527507,ENST00000314674,ENST00000524715,ENST00000529882,ENST00000367822,ENST00000367820,ENST00000525067</t>
  </si>
  <si>
    <t>ENSP00000356811,ENSP00000436256,ENSP00000389826,ENSP00000356800,ENSP00000434533,ENSP00000433161,ENSP00000436472,ENSP00000436620,ENSP00000432092,ENSP00000323566,ENSP00000434855,ENSP00000433030,ENSP00000356796,ENSP00000356794,ENSP00000435608</t>
  </si>
  <si>
    <t>NM_001146096,NM_001146095,NM_001146094</t>
  </si>
  <si>
    <t>NP_001139568.1,NP_001139567.1,NP_001139566.1</t>
  </si>
  <si>
    <t>ENST00000561594,ENST00000362065,ENST00000561607,ENST00000565466,ENST00000565280,ENST00000562892,ENST00000568145,ENST00000562881</t>
  </si>
  <si>
    <t>ENSP00000455983,ENSP00000354497,ENSP00000454223,ENSP00000454544,ENSP00000455573,ENSP00000457680</t>
  </si>
  <si>
    <t>ENST00000311191,ENST00000443945,ENST00000389798,ENST00000389797,ENST00000463929,ENST00000478412</t>
  </si>
  <si>
    <t>ENSP00000308493,ENSP00000374448,ENSP00000374447,ENSP00000417121,ENSP00000419256</t>
  </si>
  <si>
    <t>NM_001166345,NM_199072</t>
  </si>
  <si>
    <t>NP_001159817.1,NP_951038.1</t>
  </si>
  <si>
    <t>ENST00000257724,ENST00000393486,ENST00000448022,ENST00000423503,ENST00000431629,ENST00000427207,ENST00000498196,ENST00000614186</t>
  </si>
  <si>
    <t>ENSP00000257724,ENSP00000377126,ENSP00000412153,ENSP00000401623,ENSP00000416668,ENSP00000392098,ENSP00000418337,ENSP00000484656</t>
  </si>
  <si>
    <t>ENST00000382103,ENST00000358971,ENST00000514585,ENST00000503150,ENST00000515272,ENST00000505513,ENST00000513285</t>
  </si>
  <si>
    <t>ENSP00000371535,ENSP00000351857,ENSP00000421880,ENSP00000423850,ENSP00000423361</t>
  </si>
  <si>
    <t>NM_001168254,NM_001079842,NM_001079841,NM_001079840,NM_001079839,NM_017830</t>
  </si>
  <si>
    <t>NP_001161726.1,NP_001073311.2,NP_001073310.1,NP_001073309.1,NP_001073308.1,NP_060300.1</t>
  </si>
  <si>
    <t>ENST00000504654,ENST00000509122,ENST00000509664,ENST00000505922,ENST00000514981,ENST00000512981,ENST00000511662,ENST00000508996,ENST00000507210,ENST00000264312,ENST00000396448,ENST00000512236,ENST00000509164,ENST00000511102,ENST00000381473,ENST00000444354,ENST00000509963,ENST00000509246,ENST00000506801,ENST00000503016,ENST00000513641,ENST00000507546,ENST00000510824,ENST00000508293,ENST00000513391,ENST00000508329,ENST00000502972,ENST00000425583</t>
  </si>
  <si>
    <t>ENSP00000423381,ENSP00000424041,ENSP00000422171,ENSP00000423126,ENSP00000423845,ENSP00000421582,ENSP00000424252,ENSP00000420917,ENSP00000264312,ENSP00000379725,ENSP00000426386,ENSP00000426902,ENSP00000427389,ENSP00000370882,ENSP00000399656,ENSP00000425633,ENSP00000420881,ENSP00000427363,ENSP00000425356,ENSP00000421572,ENSP00000425968,ENSP00000423002,ENSP00000423909,ENSP00000416943</t>
  </si>
  <si>
    <t>NM_001168551,NM_018087,NR_033142</t>
  </si>
  <si>
    <t>NP_001162023.1,NP_060557.3,-</t>
  </si>
  <si>
    <t>ENST00000371429,ENST00000480952</t>
  </si>
  <si>
    <t>NM_018360,NM_001168683</t>
  </si>
  <si>
    <t>NP_060830.2,NP_001162154.1</t>
  </si>
  <si>
    <t>ENST00000380122,ENST00000485153,ENST00000398155</t>
  </si>
  <si>
    <t>ENSP00000369465,ENSP00000381222</t>
  </si>
  <si>
    <t>NM_001167941,NM_024908</t>
  </si>
  <si>
    <t>NP_001161413.1,NP_079184.2</t>
  </si>
  <si>
    <t>ENST00000263795,ENST00000381246,ENST00000452115,ENST00000478130</t>
  </si>
  <si>
    <t>ENSP00000263795,ENSP00000370645,ENSP00000404665</t>
  </si>
  <si>
    <t>NM_012412,NM_201516,NM_201517,NM_201436</t>
  </si>
  <si>
    <t>NP_036544.1,NP_958924.1,NP_958925.1,NP_958844.1</t>
  </si>
  <si>
    <t>Homo sapiens protease, serine, 35 (PRSS35)</t>
  </si>
  <si>
    <t>NM_153362,NM_001170423</t>
  </si>
  <si>
    <t>NP_699193.2,NP_001163894.1</t>
  </si>
  <si>
    <t>NM_001010880,NM_001142578,NM_001142577</t>
  </si>
  <si>
    <t>NP_001010880.2,NP_001136050.1,NP_001136049.1</t>
  </si>
  <si>
    <t>ENST00000629480,ENST00000630440,ENST00000628273,ENST00000630528,ENST00000626829,ENST00000626168,ENST00000625733,ENST00000630978,ENST00000628727,ENST00000626417,ENST00000627069</t>
  </si>
  <si>
    <t>ENSP00000486823,ENSP00000486672,ENSP00000487520,ENSP00000486345,ENSP00000487177,ENSP00000487366,ENSP00000487510,ENSP00000486848,ENSP00000486312,ENSP00000486727,ENSP00000485974</t>
  </si>
  <si>
    <t>ENST00000309683,ENST00000476563,ENST00000470847,ENST00000447137,ENST00000473601</t>
  </si>
  <si>
    <t>ENSP00000309330,ENSP00000393506</t>
  </si>
  <si>
    <t>ENST00000354771,ENST00000339094,ENST00000559958,ENST00000559010,ENST00000558251,ENST00000561403,ENST00000559871</t>
  </si>
  <si>
    <t>ENST00000553317,ENST00000537690,ENST00000556936,ENST00000556996,ENST00000281581</t>
  </si>
  <si>
    <t>ENSP00000453940,ENSP00000452964</t>
  </si>
  <si>
    <t>NM_152246,NM_001145137,NM_001145135,NM_001145134</t>
  </si>
  <si>
    <t>NP_689452.1,NP_001138609.1,NP_001138607.1,NP_001138606.1</t>
  </si>
  <si>
    <t>ENST00000405237,ENST00000312108,ENST00000395650,ENST00000497224,ENST00000475238,ENST00000423069,ENST00000479886,ENST00000476790,ENST00000460853,ENST00000461117,ENST00000417176,ENST00000360719,ENST00000457250</t>
  </si>
  <si>
    <t>ENSP00000385486,ENSP00000312189,ENSP00000379011,ENSP00000396408,ENSP00000406316,ENSP00000353945,ENSP00000409342</t>
  </si>
  <si>
    <t>Homo sapiens leukocyte immunoglobulin-like receptor, subfamily B (with TM and ITIM domains)</t>
  </si>
  <si>
    <t>NM_001081450,NM_006864</t>
  </si>
  <si>
    <t>NP_001074919.2,NP_006855.3</t>
  </si>
  <si>
    <t>ENST00000594022,ENST00000358491,ENST00000596237,ENST00000597078,ENST00000596126,ENST00000598747,ENST00000597556,ENST00000594385,ENST00000618549</t>
  </si>
  <si>
    <t>ENSP00000351280,ENSP00000470300,ENSP00000469739,ENSP00000479286</t>
  </si>
  <si>
    <t>NR_037586,NR_037585</t>
  </si>
  <si>
    <t>ENST00000440664,ENST00000613691</t>
  </si>
  <si>
    <t>NM_001267611,NM_001267614,NM_001267613,NM_001267612,NM_001267610,NM_001267609,NM_153832</t>
  </si>
  <si>
    <t>NP_001254540.1,NP_001254543.1,NP_001254542.1,NP_001254541.1,NP_001254539.1,NP_001254538.1,NP_722561.1</t>
  </si>
  <si>
    <t>ENST00000367838,ENST00000478868,ENST00000367836,ENST00000367835,ENST00000493800,ENST00000485232,ENST00000546300,ENST00000271357,ENST00000539777,ENST00000537209</t>
  </si>
  <si>
    <t>ENSP00000356812,ENSP00000356810,ENSP00000356809,ENSP00000444348,ENSP00000271357,ENSP00000437576,ENSP00000441039</t>
  </si>
  <si>
    <t>NM_001007278,NM_213590,NM_052811,NM_005798</t>
  </si>
  <si>
    <t>NP_001007279.1,NP_998755.1,NP_434698.1,NP_005789.2</t>
  </si>
  <si>
    <t>ENST00000442421,ENST00000378183,ENST00000474805,ENST00000420995,ENST00000478111,ENST00000378182,ENST00000356017,ENST00000457662</t>
  </si>
  <si>
    <t>ENSP00000404586,ENSP00000367425,ENSP00000412943,ENSP00000367424,ENSP00000348299,ENSP00000399206</t>
  </si>
  <si>
    <t>ENST00000285518,ENST00000523234,ENST00000518327,ENST00000523586,ENST00000530716,ENST00000533648,ENST00000533159</t>
  </si>
  <si>
    <t>ENSP00000285518,ENSP00000430016,ENSP00000430751,ENSP00000428152</t>
  </si>
  <si>
    <t>ENST00000316149,ENST00000478382,ENST00000489477</t>
  </si>
  <si>
    <t>Homo sapiens down-regulator of transcription 1, TBP-binding (negative cofactor 2)</t>
  </si>
  <si>
    <t>ENST00000370272,ENST00000370267,ENST00000481583</t>
  </si>
  <si>
    <t>ENSP00000359295,ENSP00000359290</t>
  </si>
  <si>
    <t>ENST00000371917,ENST00000493140</t>
  </si>
  <si>
    <t>ENST00000618787,ENST00000591203,ENST00000588797,ENST00000586976,ENST00000590950,ENST00000593268,ENST00000588967,ENST00000593164,ENST00000324461</t>
  </si>
  <si>
    <t>ENSP00000484852,ENSP00000468708,ENSP00000465054,ENSP00000468508,ENSP00000465942,ENSP00000467328,ENSP00000327314</t>
  </si>
  <si>
    <t>NM_002702,NR_026893</t>
  </si>
  <si>
    <t>NP_002693.3,-</t>
  </si>
  <si>
    <t>ENST00000389243,ENST00000550824,ENST00000333640,ENST00000552305,ENST00000547855,ENST00000549309,ENST00000546685,ENST00000548692,ENST00000547854</t>
  </si>
  <si>
    <t>ENSP00000373895,ENSP00000448389,ENSP00000330190,ENSP00000448266</t>
  </si>
  <si>
    <t>NM_176815,NM_001195643</t>
  </si>
  <si>
    <t>NP_789785.1,NP_001182572.1</t>
  </si>
  <si>
    <t>ENST00000481631,ENST00000314636,ENST00000394221,ENST00000461173,ENST00000496983,ENST00000619045</t>
  </si>
  <si>
    <t>ENSP00000319170,ENSP00000377768,ENSP00000418415,ENSP00000420810,ENSP00000480823</t>
  </si>
  <si>
    <t>Homo sapiens UTP23, small subunit (SSU)</t>
  </si>
  <si>
    <t>ENST00000309822,ENST00000521703,ENST00000517814,ENST00000521071,ENST00000519443,ENST00000517820,ENST00000521974,ENST00000520733,ENST00000524128</t>
  </si>
  <si>
    <t>ENSP00000308332,ENSP00000428455,ENSP00000429962,ENSP00000430029,ENSP00000427767,ENSP00000429384,ENSP00000430309</t>
  </si>
  <si>
    <t>Homo sapiens nuclear receptor subfamily 1, group D, member 2 (NR1D2)</t>
  </si>
  <si>
    <t>NM_001145425,NM_005126</t>
  </si>
  <si>
    <t>NP_001138897.1,NP_005117.3</t>
  </si>
  <si>
    <t>ENST00000312521,ENST00000383773,ENST00000492552,ENST00000468700,ENST00000472780</t>
  </si>
  <si>
    <t>ENSP00000310006,ENSP00000373283</t>
  </si>
  <si>
    <t>Homo sapiens discs, large homolog 1 (Drosophila)</t>
  </si>
  <si>
    <t>NM_001204388,NM_001204387,NM_001204386,NM_001098424,NM_004087</t>
  </si>
  <si>
    <t>NP_001191317.1,NP_001191316.1,NP_001191315.1,NP_001091894.1,NP_004078.2</t>
  </si>
  <si>
    <t>ENST00000346964,ENST00000469371,ENST00000419354,ENST00000452595,ENST00000422288,ENST00000448528,ENST00000443183,ENST00000450955,ENST00000392382,ENST00000475394,ENST00000470629,ENST00000419227,ENST00000392381,ENST00000471733,ENST00000493937,ENST00000447466,ENST00000477312,ENST00000453607,ENST00000456699,ENST00000392380,ENST00000485409,ENST00000419553,ENST00000469073,ENST00000436682,ENST00000486877,ENST00000412364,ENST00000434148,ENST00000357674</t>
  </si>
  <si>
    <t>ENSP00000345731,ENSP00000407531,ENSP00000398939,ENSP00000413238,ENSP00000391732,ENSP00000396658,ENSP00000411278,ENSP00000376187,ENSP00000396768,ENSP00000376186,ENSP00000398702,ENSP00000412579,ENSP00000396474,ENSP00000376185,ENSP00000414189,ENSP00000393771,ENSP00000390403,ENSP00000400169,ENSP00000350303</t>
  </si>
  <si>
    <t>NM_005722,NM_001005386</t>
  </si>
  <si>
    <t>NP_005713.1,NP_001005386.1</t>
  </si>
  <si>
    <t>ENST00000260641,ENST00000476840,ENST00000471552,ENST00000377982,ENST00000542850</t>
  </si>
  <si>
    <t>ENSP00000260641,ENSP00000367220,ENSP00000437383</t>
  </si>
  <si>
    <t>Homo sapiens protein kinase, AMP-activated, alpha 1 catalytic subunit (PRKAA1)</t>
  </si>
  <si>
    <t>NM_006251,NM_206907</t>
  </si>
  <si>
    <t>NP_006242.5,NP_996790.3</t>
  </si>
  <si>
    <t>ENST00000397128,ENST00000354209,ENST00000513152,ENST00000505783,ENST00000506652,ENST00000509874,ENST00000296800,ENST00000511248,ENST00000397006</t>
  </si>
  <si>
    <t>ENSP00000380317,ENSP00000346148,ENSP00000296800</t>
  </si>
  <si>
    <t>NM_001037334,NM_005151</t>
  </si>
  <si>
    <t>NP_001032411.1,NP_005142.1</t>
  </si>
  <si>
    <t>ENST00000582707,ENST00000400266,ENST00000580410,ENST00000578942,ENST00000383589,ENST00000261601,ENST00000581983,ENST00000583119,ENST00000578786</t>
  </si>
  <si>
    <t>ENSP00000464447,ENSP00000383125,ENSP00000463891,ENSP00000373083,ENSP00000261601,ENSP00000462315,ENSP00000473563</t>
  </si>
  <si>
    <t>Homo sapiens bone morphogenetic protein receptor, type IB (BMPR1B)</t>
  </si>
  <si>
    <t>NM_001256793,NM_001256794,NM_001256792,NM_001203</t>
  </si>
  <si>
    <t>NP_001243722.1,NP_001243723.1,NP_001243721.1,NP_001194.1</t>
  </si>
  <si>
    <t>ENST00000515059,ENST00000506363,ENST00000512312,ENST00000509540,ENST00000502683,ENST00000264568,ENST00000394931,ENST00000440890</t>
  </si>
  <si>
    <t>ENSP00000426617,ENSP00000421144,ENSP00000425444,ENSP00000421671,ENSP00000424693,ENSP00000264568,ENSP00000378389,ENSP00000401907</t>
  </si>
  <si>
    <t>Homo sapiens ATPase, Cu++ transporting, alpha polypeptide (ATP7A)</t>
  </si>
  <si>
    <t>ENST00000341514,ENST00000343533,ENST00000350425</t>
  </si>
  <si>
    <t>ENSP00000345728,ENSP00000343026,ENSP00000343678</t>
  </si>
  <si>
    <t>ENST00000219689,ENST00000567975,ENST00000563525</t>
  </si>
  <si>
    <t>ENSP00000219689,ENSP00000461621,ENSP00000481339</t>
  </si>
  <si>
    <t>ENST00000482513,ENST00000453186,ENST00000402291,ENST00000295031,ENST00000483700,ENST00000483509,ENST00000488322,ENST00000471625,ENST00000453873,ENST00000356719,ENST00000612149</t>
  </si>
  <si>
    <t>ENSP00000413200,ENSP00000385579,ENSP00000295031,ENSP00000416795,ENSP00000349154,ENSP00000482126</t>
  </si>
  <si>
    <t>NM_001136115,NM_015176,NR_049764</t>
  </si>
  <si>
    <t>NP_001129587.1,NP_055991.1,-</t>
  </si>
  <si>
    <t>ENST00000366862,ENST00000424254,ENST00000523990,ENST00000483773,ENST00000519894</t>
  </si>
  <si>
    <t>ENSP00000355827,ENSP00000416888,ENSP00000430632</t>
  </si>
  <si>
    <t>ENST00000369562,ENST00000296885,ENST00000489338,ENST00000480123</t>
  </si>
  <si>
    <t>ENSP00000358575,ENSP00000423543,ENSP00000422494</t>
  </si>
  <si>
    <t>ENST00000267890,ENST00000567840,ENST00000567274,ENST00000564431,ENST00000562880,ENST00000566931,ENST00000567485,ENST00000622375</t>
  </si>
  <si>
    <t>ENSP00000267890,ENSP00000455734,ENSP00000457489,ENSP00000455574,ENSP00000457385,ENSP00000454605,ENSP00000479984</t>
  </si>
  <si>
    <t>NM_001242377,NM_152624,NR_038352</t>
  </si>
  <si>
    <t>NP_001229306.1,NP_689837.2,-</t>
  </si>
  <si>
    <t>ENST00000515408,ENST00000513585,ENST00000389063,ENST00000510046,ENST00000504961,ENST00000512751,ENST00000502635,ENST00000508359</t>
  </si>
  <si>
    <t>ENSP00000425770,ENSP00000424982,ENSP00000373715,ENSP00000427198</t>
  </si>
  <si>
    <t>ENST00000285311,ENST00000510534,ENST00000513208,ENST00000510463</t>
  </si>
  <si>
    <t>ENSP00000285311,ENSP00000421255,ENSP00000423797</t>
  </si>
  <si>
    <t>NM_006751,NM_001130445</t>
  </si>
  <si>
    <t>NP_006742.2,NP_001123917.1</t>
  </si>
  <si>
    <t>ENST00000480753,ENST00000431877,ENST00000320370,ENST00000409001,ENST00000454579,ENST00000440623,ENST00000495248,ENST00000470129,ENST00000416081,ENST00000470654,ENST00000491720,ENST00000409136,ENST00000491866,ENST00000467172,ENST00000451836</t>
  </si>
  <si>
    <t>ENSP00000388731,ENSP00000314669,ENSP00000387319,ENSP00000392049,ENSP00000403754,ENSP00000415625,ENSP00000386916,ENSP00000387420</t>
  </si>
  <si>
    <t>Homo sapiens activin A receptor, type IIA (ACVR2A)</t>
  </si>
  <si>
    <t>ENST00000487959,ENST00000241416,ENST00000462659,ENST00000404590,ENST00000465329,ENST00000495775,ENST00000535787</t>
  </si>
  <si>
    <t>ENSP00000241416,ENSP00000384338,ENSP00000439988</t>
  </si>
  <si>
    <t>NM_001166226,NM_153223</t>
  </si>
  <si>
    <t>NP_001159698.1,NP_694955.2</t>
  </si>
  <si>
    <t>ENST00000306467,ENST00000508138,ENST00000513565,ENST00000508442,ENST00000503049,ENST00000510582,ENST00000515110,ENST00000328236,ENST00000306481</t>
  </si>
  <si>
    <t>ENSP00000303058,ENSP00000422234,ENSP00000422089,ENSP00000421620,ENSP00000422382,ENSP00000428303,ENSP00000327504,ENSP00000307419</t>
  </si>
  <si>
    <t>Homo sapiens myeloid/lymphoid or mixed-lineage leukemia (trithorax homolog, Drosophila)</t>
  </si>
  <si>
    <t>ENST00000400825,ENST00000344191,ENST00000351017,ENST00000392108,ENST00000400824,ENST00000366809,ENST00000447894,ENST00000400822,ENST00000423229,ENST00000503021,ENST00000511637,ENST00000497596,ENST00000507679,ENST00000509296,ENST00000507704,ENST00000476946,ENST00000485634,ENST00000515794,ENST00000511503,ENST00000486649,ENST00000392112,ENST00000366806</t>
  </si>
  <si>
    <t>ENSP00000383626,ENSP00000341118,ENSP00000252692,ENSP00000375956,ENSP00000383625,ENSP00000404595,ENSP00000383623,ENSP00000414675,ENSP00000426462,ENSP00000421441,ENSP00000424188,ENSP00000423035,ENSP00000422166,ENSP00000375960,ENSP00000355771</t>
  </si>
  <si>
    <t>ENST00000510590,ENST00000511577,ENST00000513103,ENST00000505890,ENST00000514580,ENST00000503190,ENST00000505863,ENST00000504793,ENST00000505696,ENST00000514748,ENST00000515088,ENST00000513901,ENST00000512371,ENST00000505150,ENST00000512958,ENST00000260184</t>
  </si>
  <si>
    <t>ENSP00000422423,ENSP00000422202,ENSP00000422920,ENSP00000421026,ENSP00000424310,ENSP00000424396,ENSP00000427386,ENSP00000260184</t>
  </si>
  <si>
    <t>Homo sapiens phosphatidylinositol glycan anchor biosynthesis, class M (PIGM)</t>
  </si>
  <si>
    <t>Homo sapiens lectin, mannose-binding, 1 (LMAN1)</t>
  </si>
  <si>
    <t>ENST00000251047,ENST00000592562,ENST00000587918,ENST00000587940,ENST00000587561</t>
  </si>
  <si>
    <t>ENST00000587539,ENST00000588094,ENST00000324394</t>
  </si>
  <si>
    <t>ENSP00000466051,ENSP00000319479</t>
  </si>
  <si>
    <t>ENST00000320610,ENST00000543926,ENST00000253159,ENST00000579322,ENST00000583095,ENST00000583488,ENST00000584565</t>
  </si>
  <si>
    <t>ENSP00000322361,ENSP00000444524,ENSP00000253159,ENSP00000463787</t>
  </si>
  <si>
    <t>Homo sapiens glutamate-cysteine ligase, modifier subunit (GCLM)</t>
  </si>
  <si>
    <t>ENST00000370238,ENST00000467772,ENST00000462183,ENST00000615724</t>
  </si>
  <si>
    <t>ENSP00000359258,ENSP00000484507</t>
  </si>
  <si>
    <t>NM_001144884,NM_133496</t>
  </si>
  <si>
    <t>NP_001138356.1,NP_598003.2</t>
  </si>
  <si>
    <t>ENST00000370112,ENST00000357650,ENST00000370111</t>
  </si>
  <si>
    <t>ENSP00000359130,ENSP00000350278,ENSP00000359129</t>
  </si>
  <si>
    <t>NM_001078166,NM_006924,NR_034041</t>
  </si>
  <si>
    <t>NP_001071634.1,NP_008855.1,-</t>
  </si>
  <si>
    <t>ENST00000582730,ENST00000581497,ENST00000584668,ENST00000581979,ENST00000584773,ENST00000585096,ENST00000583741,ENST00000258962,ENST00000578430</t>
  </si>
  <si>
    <t>ENSP00000462215,ENSP00000462616,ENSP00000463223,ENSP00000463042,ENSP00000462687,ENSP00000463917,ENSP00000258962</t>
  </si>
  <si>
    <t>ENST00000446231,ENST00000565324,ENST00000561940,ENST00000563448,ENST00000562668,ENST00000569764,ENST00000563235,ENST00000566328,ENST00000568038,ENST00000561947,ENST00000565224,ENST00000568239,ENST00000532700,ENST00000569122,ENST00000563836,ENST00000567737,ENST00000330588</t>
  </si>
  <si>
    <t>ENSP00000402515,ENSP00000456259,ENSP00000455861,ENSP00000484278,ENSP00000458558,ENSP00000460854,ENSP00000458380,ENSP00000432825,ENSP00000455453,ENSP00000456025,ENSP00000481150</t>
  </si>
  <si>
    <t>Homo sapiens zinc finger, RAN-binding domain containing 1 (ZRANB1)</t>
  </si>
  <si>
    <t>ENST00000359653,ENST00000471421</t>
  </si>
  <si>
    <t>ENST00000500337,ENST00000397080,ENST00000512085,ENST00000511525,ENST00000510130,ENST00000506860</t>
  </si>
  <si>
    <t>ENSP00000426067,ENSP00000380270,ENSP00000422881,ENSP00000427099,ENSP00000424720</t>
  </si>
  <si>
    <t>Homo sapiens protease, serine, 23 (PRSS23)</t>
  </si>
  <si>
    <t>ENST00000527521,ENST00000280258,ENST00000532234,ENST00000533902,ENST00000531475,ENST00000533880,ENST00000532572,ENST00000528769,ENST00000531521</t>
  </si>
  <si>
    <t>ENSP00000435951,ENSP00000280258,ENSP00000436676,ENSP00000437268</t>
  </si>
  <si>
    <t>Homo sapiens protein phosphatase 2, regulatory subunit B', epsilon isoform (PPP2R5E)</t>
  </si>
  <si>
    <t>ENST00000337537,ENST00000555899,ENST00000556484,ENST00000553266,ENST00000556150,ENST00000556878,ENST00000422769</t>
  </si>
  <si>
    <t>ENSP00000337641,ENSP00000452396,ENSP00000404632</t>
  </si>
  <si>
    <t>NM_001018069,NM_015640,NM_001018068,NM_001018067</t>
  </si>
  <si>
    <t>NP_001018079.1,NP_056455.3,NP_001018078.1,NP_001018077.1</t>
  </si>
  <si>
    <t>ENST00000370994,ENST00000370995,ENST00000490406,ENST00000462814,ENST00000361219,ENST00000370990,ENST00000484880,ENST00000493607</t>
  </si>
  <si>
    <t>ENSP00000360033,ENSP00000360034,ENSP00000354591,ENSP00000360029</t>
  </si>
  <si>
    <t>ENST00000222747,ENST00000450414,ENST00000415871,ENST00000441017,ENST00000433758,ENST00000424710,ENST00000430985</t>
  </si>
  <si>
    <t>ENSP00000222747,ENSP00000397411,ENSP00000397699,ENSP00000411158,ENSP00000399059,ENSP00000404942,ENSP00000388819</t>
  </si>
  <si>
    <t>Homo sapiens gap junction protein, alpha 3, 46kDa (GJA3)</t>
  </si>
  <si>
    <t>ENST00000425535,ENST00000409122,ENST00000432494,ENST00000456912,ENST00000409464,ENST00000472403,ENST00000588805</t>
  </si>
  <si>
    <t>ENSP00000404941,ENSP00000386452,ENSP00000399809,ENSP00000397957,ENSP00000386586,ENSP00000467305</t>
  </si>
  <si>
    <t>ENST00000360104,ENST00000558084,ENST00000262189,ENST00000424877,ENST00000473186,ENST00000485241,ENST00000418061,ENST00000558665,ENST00000489110,ENST00000418673,ENST00000490130,ENST00000452749,ENST00000355193</t>
  </si>
  <si>
    <t>ENSP00000353218,ENSP00000453752,ENSP00000262189,ENSP00000410411,ENSP00000408001,ENSP00000454058,ENSP00000403483,ENSP00000410239,ENSP00000347325</t>
  </si>
  <si>
    <t>ENST00000339397,ENST00000504881</t>
  </si>
  <si>
    <t>ENST00000397944,ENST00000522396,ENST00000522242,ENST00000326929,ENST00000493950,ENST00000473647,ENST00000480328,ENST00000367490,ENST00000326916,ENST00000523560,ENST00000470716,ENST00000367489</t>
  </si>
  <si>
    <t>ENSP00000381036,ENSP00000429365,ENSP00000428035,ENSP00000430244,ENSP00000430834,ENSP00000429315,ENSP00000356460,ENSP00000323839,ENSP00000427779,ENSP00000356459</t>
  </si>
  <si>
    <t>Homo sapiens proteasome (prosome, macropain)</t>
  </si>
  <si>
    <t>ENST00000404125,ENST00000389993,ENST00000476586,ENST00000488687,ENST00000466539,ENST00000478731,ENST00000461810,ENST00000475694,ENST00000481518</t>
  </si>
  <si>
    <t>ENSP00000384211,ENSP00000374643</t>
  </si>
  <si>
    <t>NM_198798,NM_022096</t>
  </si>
  <si>
    <t>NP_942093.1,NP_071379.3</t>
  </si>
  <si>
    <t>ENST00000437504,ENST00000378392,ENST00000378380,ENST00000488991</t>
  </si>
  <si>
    <t>ENSP00000367644,ENSP00000367631</t>
  </si>
  <si>
    <t>NM_001143829,NM_025214</t>
  </si>
  <si>
    <t>NP_001137301.1,NP_079490.1</t>
  </si>
  <si>
    <t>ENST00000591504,ENST00000592040,ENST00000337363,ENST00000592294,ENST00000587148,ENST00000432185</t>
  </si>
  <si>
    <t>ENSP00000466690,ENSP00000466731,ENSP00000337209,ENSP00000413406</t>
  </si>
  <si>
    <t>Homo sapiens synuclein, alpha (non A4 component of amyloid precursor)</t>
  </si>
  <si>
    <t>NM_001146055,NM_001146054,NM_007308,NM_000345</t>
  </si>
  <si>
    <t>NP_001139527.1,NP_001139526.1,NP_009292.1,NP_000336.1</t>
  </si>
  <si>
    <t>ENST00000336904,ENST00000345009,ENST00000394986,ENST00000394991,ENST00000508895,ENST00000506244,ENST00000505199,ENST00000611107,ENST00000502987,ENST00000506691,ENST00000420646,ENST00000618500,ENST00000394989</t>
  </si>
  <si>
    <t>ENSP00000338345,ENSP00000343683,ENSP00000378437,ENSP00000378442,ENSP00000426955,ENSP00000422238,ENSP00000421485,ENSP00000479604,ENSP00000426034,ENSP00000423445,ENSP00000396241,ENSP00000484044,ENSP00000378440</t>
  </si>
  <si>
    <t>NM_001009554,NM_021647</t>
  </si>
  <si>
    <t>NP_001009554.1,NP_067679.6</t>
  </si>
  <si>
    <t>ENST00000393704,ENST00000361618,ENST00000512698,ENST00000502832,ENST00000507601,ENST00000393702,ENST00000506110,ENST00000504999,ENST00000506764,ENST00000510306,ENST00000514683</t>
  </si>
  <si>
    <t>ENSP00000377307,ENSP00000354583,ENSP00000422791,ENSP00000423722,ENSP00000423802,ENSP00000377305,ENSP00000422571,ENSP00000425303,ENSP00000426247,ENSP00000423549</t>
  </si>
  <si>
    <t>Homo sapiens protein tyrosine phosphatase, non-receptor type 21 (PTPN21)</t>
  </si>
  <si>
    <t>ENST00000556564,ENST00000553531,ENST00000536337,ENST00000554270,ENST00000557249,ENST00000554628,ENST00000555243,ENST00000554178,ENST00000328736</t>
  </si>
  <si>
    <t>ENSP00000452414,ENSP00000450847,ENSP00000443951,ENSP00000451401,ENSP00000330276</t>
  </si>
  <si>
    <t>Homo sapiens integrin, alpha 4 (antigen CD49D, alpha 4 subunit of VLA-4 receptor)</t>
  </si>
  <si>
    <t>ENST00000476089,ENST00000339307,ENST00000397033,ENST00000465522,ENST00000233573,ENST00000484404,ENST00000478440,ENST00000473002,ENST00000490435,ENST00000476824,ENST00000468948</t>
  </si>
  <si>
    <t>ENSP00000340149,ENSP00000380227,ENSP00000233573</t>
  </si>
  <si>
    <t>ENST00000280346,ENST00000533297,ENST00000393051,ENST00000531306,ENST00000527231</t>
  </si>
  <si>
    <t>ENSP00000280346,ENSP00000435374,ENSP00000376771,ENSP00000433432</t>
  </si>
  <si>
    <t>ENST00000506866,ENST00000515101,ENST00000274031,ENST00000404104,ENST00000406354,ENST00000608795,ENST00000608958</t>
  </si>
  <si>
    <t>ENSP00000427300,ENSP00000274031,ENSP00000385913,ENSP00000384336,ENSP00000476712,ENSP00000476302</t>
  </si>
  <si>
    <t>Homo sapiens lectin, galactoside-binding-like (LGALSL)</t>
  </si>
  <si>
    <t>ENST00000464281,ENST00000238875,ENST00000462737,ENST00000420552,ENST00000409537</t>
  </si>
  <si>
    <t>ENSP00000475643,ENSP00000238875,ENSP00000476226,ENSP00000407486,ENSP00000386242</t>
  </si>
  <si>
    <t>ENST00000503023,ENST00000507335,ENST00000284274,ENST00000514913,ENST00000506417,ENST00000508678</t>
  </si>
  <si>
    <t>ENSP00000427016,ENSP00000284274,ENSP00000421928,ENSP00000424966</t>
  </si>
  <si>
    <t>Homo sapiens cyclin-dependent kinase inhibitor 2B (p15, inhibits CDK4)</t>
  </si>
  <si>
    <t>NM_078487,NM_004936</t>
  </si>
  <si>
    <t>NP_511042.1,NP_004927.2</t>
  </si>
  <si>
    <t>ENST00000276925,ENST00000579591,ENST00000380142</t>
  </si>
  <si>
    <t>ENSP00000276925,ENSP00000369487</t>
  </si>
  <si>
    <t>NM_001128627,NM_001128626,NM_020148</t>
  </si>
  <si>
    <t>NP_001122099.1,NP_001122098.1,NP_064533.3</t>
  </si>
  <si>
    <t>ENST00000409402,ENST00000410092,ENST00000309836,ENST00000440472,ENST00000453447,ENST00000498803,ENST00000464481,ENST00000592156,ENST00000588236,ENST00000487491,ENST00000449797,ENST00000497844,ENST00000462226,ENST00000626255</t>
  </si>
  <si>
    <t>ENSP00000387266,ENSP00000387226,ENSP00000309661,ENSP00000404752,ENSP00000407050,ENSP00000466531,ENSP00000401392,ENSP00000467103,ENSP00000467943,ENSP00000486927</t>
  </si>
  <si>
    <t>ENST00000521891,ENST00000517683,ENST00000458716,ENST00000520307,ENST00000523885,ENST00000517585,ENST00000523809,ENST00000518282,ENST00000523625,ENST00000524290,ENST00000519536,ENST00000522409</t>
  </si>
  <si>
    <t>ENSP00000430497,ENSP00000428525,ENSP00000429495,ENSP00000427775,ENSP00000427739,ENSP00000430848,ENSP00000431101,ENSP00000430375</t>
  </si>
  <si>
    <t>NM_001143919,NM_181657</t>
  </si>
  <si>
    <t>NP_001137391.1,NP_858043.1</t>
  </si>
  <si>
    <t>ENST00000553481,ENST00000345363,ENST00000396789,ENST00000556141,ENST00000396782</t>
  </si>
  <si>
    <t>ENSP00000450457,ENSP00000307445,ENSP00000380008,ENSP00000451929,ENSP00000380002</t>
  </si>
  <si>
    <t>ENST00000593795,ENST00000452918,ENST00000594773,ENST00000597095,ENST00000597163,ENST00000330854,ENST00000337018,ENST00000598863,ENST00000600239,ENST00000601879,ENST00000600377,ENST00000597280,ENST00000598240,ENST00000598202,ENST00000594445</t>
  </si>
  <si>
    <t>ENSP00000472183,ENSP00000389380,ENSP00000470915,ENSP00000332373,ENSP00000337926,ENSP00000473187,ENSP00000472286,ENSP00000472914,ENSP00000472878,ENSP00000472244,ENSP00000471042</t>
  </si>
  <si>
    <t>ENST00000300005,ENST00000562987,ENST00000564349,ENST00000562215,ENST00000569729,ENST00000568805,ENST00000563117,ENST00000567859,ENST00000563537,ENST00000565884,ENST00000567562,ENST00000562277,ENST00000566223,ENST00000568251,ENST00000357967</t>
  </si>
  <si>
    <t>ENSP00000300005,ENSP00000455982,ENSP00000457488,ENSP00000454720,ENSP00000454661,ENSP00000350651</t>
  </si>
  <si>
    <t>ENST00000315927,ENST00000367084</t>
  </si>
  <si>
    <t>ENSP00000326813,ENSP00000356051</t>
  </si>
  <si>
    <t>Homo sapiens adrenergic, beta, receptor kinase 2 (ADRBK2)</t>
  </si>
  <si>
    <t>ENST00000324198,ENST00000455558,ENST00000619906</t>
  </si>
  <si>
    <t>ENSP00000317578,ENSP00000393688,ENSP00000478925</t>
  </si>
  <si>
    <t>NM_001197104,NM_005933</t>
  </si>
  <si>
    <t>NP_001184033.1,NP_005924.2</t>
  </si>
  <si>
    <t>ENST00000534358,ENST00000531904,ENST00000389506,ENST00000532204,ENST00000529852,ENST00000527869,ENST00000533790,ENST00000392873,ENST00000420751,ENST00000528278,ENST00000534085,ENST00000534678,ENST00000525408,ENST00000527839</t>
  </si>
  <si>
    <t>ENSP00000436786,ENSP00000432391,ENSP00000374157,ENSP00000434618,ENSP00000436564,ENSP00000432652,ENSP00000436700,ENSP00000376612</t>
  </si>
  <si>
    <t>ENST00000376841,ENST00000327705,ENST00000491209,ENST00000515271,ENST00000513424,ENST00000511589,ENST00000509395,ENST00000511056,ENST00000506782,ENST00000512570</t>
  </si>
  <si>
    <t>ENSP00000366037,ENSP00000330200,ENSP00000425424,ENSP00000427345</t>
  </si>
  <si>
    <t>ENST00000156471,ENST00000543879,ENST00000559090,ENST00000559767,ENST00000560117,ENST00000558202</t>
  </si>
  <si>
    <t>ENSP00000156471,ENSP00000445700,ENSP00000453278</t>
  </si>
  <si>
    <t>Homo sapiens ADAM metallopeptidase with thrombospondin type 1 motif, 14 (ADAMTS14)</t>
  </si>
  <si>
    <t>NM_080722,NM_139155</t>
  </si>
  <si>
    <t>NP_542453.2,NP_631894.2</t>
  </si>
  <si>
    <t>ENST00000373208,ENST00000373207</t>
  </si>
  <si>
    <t>ENSP00000362304,ENSP00000362303</t>
  </si>
  <si>
    <t>NM_001143943,NR_026587</t>
  </si>
  <si>
    <t>NP_001137415.1,-</t>
  </si>
  <si>
    <t>ENST00000391837,ENST00000518607,ENST00000366523,ENST00000366522,ENST00000497591,ENST00000447569,ENST00000473686,ENST00000366521,ENST00000487845,ENST00000549220,ENST00000495271,ENST00000479260,ENST00000551317,ENST00000425550,ENST00000427529,ENST00000479923</t>
  </si>
  <si>
    <t>ENSP00000355480,ENSP00000355479,ENSP00000408661,ENSP00000355478,ENSP00000447807,ENSP00000405269,ENSP00000397120</t>
  </si>
  <si>
    <t>ENST00000339728,ENST00000390645</t>
  </si>
  <si>
    <t>ENSP00000339754,ENSP00000375057</t>
  </si>
  <si>
    <t>ENST00000262644,ENST00000520392,ENST00000517461</t>
  </si>
  <si>
    <t>ENSP00000262644,ENSP00000428617,ENSP00000430185</t>
  </si>
  <si>
    <t>ENST00000330469,ENST00000606784,ENST00000369663,ENST00000607343,ENST00000606521,ENST00000606325,ENST00000606621</t>
  </si>
  <si>
    <t>ENSP00000475873,ENSP00000358677,ENSP00000475498,ENSP00000476137</t>
  </si>
  <si>
    <t>ENST00000445299,ENST00000323460,ENST00000419026,ENST00000489744,ENST00000448068,ENST00000434433,ENST00000463245</t>
  </si>
  <si>
    <t>ENSP00000390231,ENSP00000327197,ENSP00000396927,ENSP00000405663,ENSP00000415227</t>
  </si>
  <si>
    <t>NM_012129,NM_001185073,NM_001185072</t>
  </si>
  <si>
    <t>NP_036261.1,NP_001172002.1,NP_001172001.1</t>
  </si>
  <si>
    <t>ENST00000416322,ENST00000496677,ENST00000287916,ENST00000462636,ENST00000495768,ENST00000394604,ENST00000394605,ENST00000498033,ENST00000483862,ENST00000498326,ENST00000427904,ENST00000451941,ENST00000478752,ENST00000485696,ENST00000476475</t>
  </si>
  <si>
    <t>ENSP00000411399,ENSP00000419053,ENSP00000287916,ENSP00000378102,ENSP00000378103,ENSP00000391062</t>
  </si>
  <si>
    <t>ENST00000366971,ENST00000419102,ENST00000579295,ENST00000474693,ENST00000483790</t>
  </si>
  <si>
    <t>ENSP00000355938,ENSP00000414680</t>
  </si>
  <si>
    <t>NM_005100,NM_144497</t>
  </si>
  <si>
    <t>NP_005091.2,NP_653080.1</t>
  </si>
  <si>
    <t>ENST00000253332,ENST00000354675,ENST00000490177,ENST00000402676,ENST00000359755</t>
  </si>
  <si>
    <t>ENSP00000253332,ENSP00000346702,ENSP00000384537,ENSP00000352794</t>
  </si>
  <si>
    <t>NM_001111113,NM_001111112,NM_005339</t>
  </si>
  <si>
    <t>NP_001104583.1,NP_001104582.1,NP_005330.1</t>
  </si>
  <si>
    <t>ENST00000261427,ENST00000510934,ENST00000513231,ENST00000438068,ENST00000503368,ENST00000445950,ENST00000510719</t>
  </si>
  <si>
    <t>ENSP00000261427,ENSP00000425301,ENSP00000421203,ENSP00000390483,ENSP00000421422</t>
  </si>
  <si>
    <t>ENST00000417958,ENST00000432036,ENST00000392328,ENST00000445546,ENST00000434582,ENST00000489793,ENST00000444317,ENST00000486123,ENST00000412482,ENST00000281416</t>
  </si>
  <si>
    <t>ENSP00000398737,ENSP00000400131,ENSP00000376141,ENSP00000403762,ENSP00000397276,ENSP00000406837,ENSP00000404511,ENSP00000281416</t>
  </si>
  <si>
    <t>ENST00000477063,ENST00000466950,ENST00000492595,ENST00000473494,ENST00000481965,ENST00000466519,ENST00000480631,ENST00000491366,ENST00000487572,ENST00000309934</t>
  </si>
  <si>
    <t>ENSP00000417200,ENSP00000417972,ENSP00000420343,ENSP00000420128,ENSP00000419039,ENSP00000420574,ENSP00000417219,ENSP00000420015,ENSP00000310521</t>
  </si>
  <si>
    <t>NM_001243879,NM_004593</t>
  </si>
  <si>
    <t>NP_001230808.1,NP_004584.1</t>
  </si>
  <si>
    <t>ENST00000453386,ENST00000492417,ENST00000463328,ENST00000259043,ENST00000414862,ENST00000466832,ENST00000487615,ENST00000456380,ENST00000382191,ENST00000465245,ENST00000485530,ENST00000493864,ENST00000477939,ENST00000471134,ENST00000480461,ENST00000342294</t>
  </si>
  <si>
    <t>ENSP00000416959,ENSP00000259043,ENSP00000406561,ENSP00000416887,ENSP00000371626,ENSP00000343857</t>
  </si>
  <si>
    <t>NM_001002812,NM_001002811</t>
  </si>
  <si>
    <t>NP_001002812.2,NP_001002811.2</t>
  </si>
  <si>
    <t>ENST00000530472,ENST00000524974,ENST00000620605,ENST00000585156,ENST00000618462,ENST00000617031,ENST00000617527,ENST00000617248,ENST00000610852,ENST00000533259,ENST00000619981,ENST00000618504,ENST00000617454,ENST00000616206,ENST00000613995,ENST00000621371,ENST00000534536,ENST00000528129,ENST00000369356,ENST00000526445,ENST00000533845,ENST00000369354,ENST00000369347,ENST00000369349,ENST00000369351,ENST00000612094,ENST00000477941,ENST00000479408,ENST00000313431,ENST00000529945,ENST00000496263,ENST00000467859,ENST00000530062,ENST00000491426,ENST00000479369,ENST00000526664,ENST00000481227,ENST00000530130,ENST00000494734,ENST00000527901,ENST00000534466,ENST00000534367,ENST00000533768,ENST00000525630,ENST00000464924,ENST00000460027,ENST00000526182,ENST00000469668,ENST00000528060,ENST00000464103</t>
  </si>
  <si>
    <t>ENSP00000482121,ENSP00000480806,ENSP00000479601,ENSP00000462316,ENSP00000479409,ENSP00000437202,ENSP00000480590,ENSP00000480290,ENSP00000484652,ENSP00000483081,ENSP00000480245,ENSP00000483413,ENSP00000435920,ENSP00000431777,ENSP00000358363,ENSP00000435483,ENSP00000358360,ENSP00000358353,ENSP00000358355,ENSP00000358357,ENSP00000436791,ENSP00000316434,ENSP00000433392,ENSP00000436694,ENSP00000431596,ENSP00000432498,ENSP00000481731</t>
  </si>
  <si>
    <t>NM_001112802,NM_001252624,NM_021097,NM_001112801,NM_001112800</t>
  </si>
  <si>
    <t>NP_001106273.1,NP_001239553.1,NP_066920.1,NP_001106272.1,NP_001106271.1</t>
  </si>
  <si>
    <t>ENST00000406785,ENST00000407929,ENST00000403092,ENST00000405901,ENST00000402441,ENST00000405269,ENST00000408028,ENST00000455476,ENST00000448531,ENST00000417271,ENST00000332839,ENST00000406391</t>
  </si>
  <si>
    <t>ENSP00000383886,ENSP00000386116,ENSP00000384763,ENSP00000385678,ENSP00000385188,ENSP00000385535,ENSP00000384908,ENSP00000389330,ENSP00000398575,ENSP00000412560,ENSP00000332931,ENSP00000385811</t>
  </si>
  <si>
    <t>ENST00000381271,ENST00000539176,ENST00000543254,ENST00000540301</t>
  </si>
  <si>
    <t>ENSP00000370671,ENSP00000444748,ENSP00000443934</t>
  </si>
  <si>
    <t>ENST00000367385,ENST00000442588,ENST00000538004,ENST00000367383,ENST00000544035,ENST00000417895,ENST00000391974,ENST00000493790</t>
  </si>
  <si>
    <t>ENSP00000356355,ENSP00000392745,ENSP00000444621,ENSP00000356353,ENSP00000439095,ENSP00000375835</t>
  </si>
  <si>
    <t>NM_001199563,NM_007073,NM_147147</t>
  </si>
  <si>
    <t>NP_001186492.1,NP_009004.2,NP_671488.1</t>
  </si>
  <si>
    <t>ENST00000314641,ENST00000336775,ENST00000446408</t>
  </si>
  <si>
    <t>ENSP00000313172,ENSP00000337259,ENSP00000397310</t>
  </si>
  <si>
    <t>NM_005079,NM_001025253,NM_001025252</t>
  </si>
  <si>
    <t>NP_005070.1,NP_001020424.1,NP_001020423.1</t>
  </si>
  <si>
    <t>ENST00000379096,ENST00000518937,ENST00000520527,ENST00000517427,ENST00000517462,ENST00000379097,ENST00000519303,ENST00000523395,ENST00000523193,ENST00000523319,ENST00000521354,ENST00000520877,ENST00000521618,ENST00000518517,ENST00000524194,ENST00000521241,ENST00000517445,ENST00000523753,ENST00000522364,ENST00000519250,ENST00000518500,ENST00000520795,ENST00000520741,ENST00000521561,ENST00000523783,ENST00000523564,ENST00000520035,ENST00000602950,ENST00000448733</t>
  </si>
  <si>
    <t>ENSP00000368390,ENSP00000429915,ENSP00000429309,ENSP00000429351,ENSP00000429708,ENSP00000368391,ENSP00000428951,ENSP00000430646,ENSP00000430421,ENSP00000430323,ENSP00000430140,ENSP00000430865,ENSP00000410222</t>
  </si>
  <si>
    <t>ENST00000423057,ENST00000428084,ENST00000486186,ENST00000437633,ENST00000445943,ENST00000494769,ENST00000428053,ENST00000437129,ENST00000450156,ENST00000492436,ENST00000417165,ENST00000464338,ENST00000469898,ENST00000476846,ENST00000492532,ENST00000468571,ENST00000494651</t>
  </si>
  <si>
    <t>ENSP00000412834,ENSP00000410746,ENSP00000404179,ENSP00000397412,ENSP00000393486,ENSP00000406298,ENSP00000406468,ENSP00000403504,ENSP00000440944</t>
  </si>
  <si>
    <t>NM_001193417,NM_001193416,NM_001356</t>
  </si>
  <si>
    <t>NP_001180346.1,NP_001180345.1,NP_001347.3</t>
  </si>
  <si>
    <t>ENST00000610559,ENST00000629496,ENST00000629785,ENST00000630255,ENST00000625837,ENST00000630858,ENST00000630370,ENST00000626301,ENST00000399959,ENST00000478993,ENST00000615742,ENST00000631641,ENST00000441189,ENST00000480592,ENST00000542215,ENST00000622373,ENST00000615313,ENST00000622198,ENST00000611546,ENST00000616050,ENST00000611968,ENST00000457138</t>
  </si>
  <si>
    <t>ENSP00000487224,ENSP00000486516,ENSP00000486720,ENSP00000486306,ENSP00000486514,ENSP00000487062,ENSP00000486443,ENSP00000382840,ENSP00000478443,ENSP00000480647,ENSP00000488854,ENSP00000414281,ENSP00000487626,ENSP00000479790,ENSP00000392494</t>
  </si>
  <si>
    <t>NM_001146187,NM_001146186,NM_001146185,NM_001146184,NM_006210</t>
  </si>
  <si>
    <t>NP_001139659.1,NP_001139658.1,NP_001139657.1,NP_001139656.1,NP_006201.1</t>
  </si>
  <si>
    <t>ENST00000326441,ENST00000599565,ENST00000598410,ENST00000593695,ENST00000599534,ENST00000599577,ENST00000600833,ENST00000596261,ENST00000594706,ENST00000594389</t>
  </si>
  <si>
    <t>ENSP00000326581,ENSP00000473190,ENSP00000472402,ENSP00000472395,ENSP00000469486,ENSP00000470467,ENSP00000469144</t>
  </si>
  <si>
    <t>ENST00000274008,ENST00000422835</t>
  </si>
  <si>
    <t>ENST00000556810,ENST00000556422,ENST00000261556,ENST00000557657,ENST00000556975,ENST00000555497,ENST00000557626,ENST00000539559,ENST00000556079,ENST00000554981,ENST00000556929,ENST00000555905,ENST00000553335,ENST00000556648,ENST00000555046,ENST00000538838</t>
  </si>
  <si>
    <t>ENSP00000451677,ENSP00000450988,ENSP00000261556,ENSP00000452065,ENSP00000442602,ENSP00000452579,ENSP00000452441,ENSP00000451695,ENSP00000441934</t>
  </si>
  <si>
    <t>ENST00000194155,ENST00000622947,ENST00000624874,ENST00000625033,ENST00000624994</t>
  </si>
  <si>
    <t>ENSP00000194155,ENSP00000485040,ENSP00000485270,ENSP00000485376,ENSP00000485480</t>
  </si>
  <si>
    <t>NM_001270629,NM_014166</t>
  </si>
  <si>
    <t>NP_001257558.1,NP_054885.1</t>
  </si>
  <si>
    <t>ENST00000495013,ENST00000258648,ENST00000378586,ENST00000417167</t>
  </si>
  <si>
    <t>ENSP00000483651,ENSP00000258648,ENSP00000367849,ENSP00000413595</t>
  </si>
  <si>
    <t>ENST00000314970,ENST00000515774,ENST00000503752,ENST00000512834,ENST00000509002,ENST00000509538,ENST00000506278,ENST00000515152,ENST00000508001,ENST00000512658,ENST00000510864</t>
  </si>
  <si>
    <t>ENSP00000313816,ENSP00000421913,ENSP00000420860,ENSP00000425316,ENSP00000423353,ENSP00000423409,ENSP00000422199,ENSP00000424639</t>
  </si>
  <si>
    <t>ENST00000394329,ENST00000335110,ENST00000509444</t>
  </si>
  <si>
    <t>ENSP00000377862,ENSP00000335169</t>
  </si>
  <si>
    <t>ENST00000284202,ENST00000580706,ENST00000585067,ENST00000578221,ENST00000581278,ENST00000580035</t>
  </si>
  <si>
    <t>ENSP00000284202,ENSP00000462769,ENSP00000464363,ENSP00000463895,ENSP00000463710</t>
  </si>
  <si>
    <t>ENST00000503886,ENST00000399298,ENST00000507507,ENST00000277749,ENST00000488505</t>
  </si>
  <si>
    <t>ENSP00000425286,ENSP00000382237,ENSP00000277749,ENSP00000426071</t>
  </si>
  <si>
    <t>ENST00000434600,ENST00000200639,ENST00000486593,ENST00000371335</t>
  </si>
  <si>
    <t>ENSP00000408411,ENSP00000200639,ENSP00000431526,ENSP00000360386</t>
  </si>
  <si>
    <t>ENST00000258301,ENST00000469135,ENST00000496476,ENST00000542060</t>
  </si>
  <si>
    <t>ENSP00000258301,ENSP00000440188</t>
  </si>
  <si>
    <t>ENST00000361565,ENST00000464348,ENST00000479374,ENST00000456707</t>
  </si>
  <si>
    <t>ENSP00000354742,ENSP00000387761</t>
  </si>
  <si>
    <t>ENST00000264498,ENST00000608478,ENST00000614010</t>
  </si>
  <si>
    <t>ENSP00000264498,ENSP00000477134,ENSP00000478620</t>
  </si>
  <si>
    <t>NM_001206651,NM_001206653,NM_001206652,NM_016009</t>
  </si>
  <si>
    <t>NP_001193580.1,NP_001193582.1,NP_001193581.1,NP_057093.1</t>
  </si>
  <si>
    <t>ENST00000370558,ENST00000482504,ENST00000602603,ENST00000616170,ENST00000535010</t>
  </si>
  <si>
    <t>ENSP00000473267,ENSP00000418744,ENSP00000479919,ENSP00000441355</t>
  </si>
  <si>
    <t>ENST00000264893,ENST00000502584,ENST00000510641,ENST00000505788,ENST00000512575,ENST00000510515,ENST00000504637,ENST00000512778,ENST00000512333,ENST00000504460,ENST00000506047,ENST00000506731,ENST00000502401,ENST00000513373,ENST00000513697,ENST00000515671</t>
  </si>
  <si>
    <t>ENSP00000264893,ENSP00000426344,ENSP00000420839,ENSP00000424925,ENSP00000422896,ENSP00000425262,ENSP00000422047,ENSP00000423103,ENSP00000424122</t>
  </si>
  <si>
    <t>ENST00000411929,ENST00000471186,ENST00000245787,ENST00000485520,ENST00000467223,ENST00000488995,ENST00000479999,ENST00000614681</t>
  </si>
  <si>
    <t>ENSP00000400126,ENSP00000245787,ENSP00000484179</t>
  </si>
  <si>
    <t>Homo sapiens ATP-binding cassette, sub-family B (MDR/TAP)</t>
  </si>
  <si>
    <t>ENST00000344517,ENST00000498158,ENST00000486755</t>
  </si>
  <si>
    <t>ENST00000361822,ENST00000361946,ENST00000421043,ENST00000457808,ENST00000425229,ENST00000450657,ENST00000421864</t>
  </si>
  <si>
    <t>ENSP00000354501,ENSP00000355043,ENSP00000410538,ENSP00000402846,ENSP00000390359,ENSP00000402292,ENSP00000415735</t>
  </si>
  <si>
    <t>NM_147223,NM_147233,NM_003743</t>
  </si>
  <si>
    <t>NP_671756.1,NP_671766.1,NP_003734.3</t>
  </si>
  <si>
    <t>ENST00000496333,ENST00000406961,ENST00000469850,ENST00000405141,ENST00000407230,ENST00000483904,ENST00000395856,ENST00000486198,ENST00000493773,ENST00000288599,ENST00000348332</t>
  </si>
  <si>
    <t>ENSP00000385216,ENSP00000385097,ENSP00000385195,ENSP00000379197,ENSP00000288599,ENSP00000320940</t>
  </si>
  <si>
    <t>Homo sapiens protein phosphatase 1, regulatory subunit 9A (PPP1R9A)</t>
  </si>
  <si>
    <t>NM_001166163,NM_001166162,NM_001166161,NM_001166160,NM_017650</t>
  </si>
  <si>
    <t>NP_001159635.1,NP_001159634.1,NP_001159633.1,NP_001159632.1,NP_060120.2</t>
  </si>
  <si>
    <t>ENST00000413325,ENST00000433360,ENST00000424654,ENST00000422324,ENST00000433881,ENST00000289495,ENST00000340694,ENST00000456331</t>
  </si>
  <si>
    <t>ENSP00000405820,ENSP00000405514,ENSP00000411342,ENSP00000398499,ENSP00000398870,ENSP00000289495,ENSP00000344524,ENSP00000402893</t>
  </si>
  <si>
    <t>NM_001042492,NM_000267</t>
  </si>
  <si>
    <t>NP_001035957.1,NP_000258.1</t>
  </si>
  <si>
    <t>ENST00000487476,ENST00000358273,ENST00000356175,ENST00000431387,ENST00000579081,ENST00000489712,ENST00000495910,ENST00000490416,ENST00000456735,ENST00000493220,ENST00000466819,ENST00000479614,ENST00000581113,ENST00000479536,ENST00000584328,ENST00000581790,ENST00000471572,ENST00000582892,ENST00000577967,ENST00000468273,ENST00000498569,ENST00000422121,ENST00000488981</t>
  </si>
  <si>
    <t>ENSP00000351015,ENSP00000348498,ENSP00000412921,ENSP00000462408,ENSP00000467284,ENSP00000463682,ENSP00000389907,ENSP00000463819,ENSP00000462157,ENSP00000467080,ENSP00000462700,ENSP00000464678,ENSP00000464702,ENSP00000465138</t>
  </si>
  <si>
    <t>Homo sapiens RAB1A, member RAS oncogene family (RAB1A)</t>
  </si>
  <si>
    <t>NM_015543,NM_004161</t>
  </si>
  <si>
    <t>NP_056358.1,NP_004152.1</t>
  </si>
  <si>
    <t>ENST00000494188,ENST00000409892,ENST00000409784,ENST00000398529,ENST00000409751</t>
  </si>
  <si>
    <t>ENSP00000386451,ENSP00000387286,ENSP00000381540,ENSP00000386672</t>
  </si>
  <si>
    <t>ENST00000452276,ENST00000453321,ENST00000498673,ENST00000518319,ENST00000409623,ENST00000453906,ENST00000474944,ENST00000475305,ENST00000521222,ENST00000455946,ENST00000481620,ENST00000521065,ENST00000521517,ENST00000323130,ENST00000496213,ENST00000425545,ENST00000520634,ENST00000520680,ENST00000523230,ENST00000519845,ENST00000518896,ENST00000463467</t>
  </si>
  <si>
    <t>ENSP00000388671,ENSP00000389998,ENSP00000430232,ENSP00000430289,ENSP00000386966,ENSP00000403035,ENSP00000429925,ENSP00000416339,ENSP00000427947,ENSP00000430740,ENSP00000314488,ENSP00000428785</t>
  </si>
  <si>
    <t>NM_001136258,NM_001136257,NM_152621</t>
  </si>
  <si>
    <t>NP_001129730.1,NP_001129729.1,NP_689834.1</t>
  </si>
  <si>
    <t>ENST00000506462,ENST00000394684,ENST00000515332,ENST00000503862,ENST00000359079,ENST00000506993,ENST00000394686,ENST00000503385,ENST00000504754</t>
  </si>
  <si>
    <t>ENSP00000378176,ENSP00000428176,ENSP00000351981,ENSP00000428294,ENSP00000378178,ENSP00000430172</t>
  </si>
  <si>
    <t>ENST00000389082,ENST00000536562,ENST00000537061,ENST00000354285,ENST00000546299,ENST00000545147,ENST00000544698,ENST00000628277</t>
  </si>
  <si>
    <t>ENSP00000373734,ENSP00000444889,ENSP00000346238,ENSP00000442938,ENSP00000445113,ENSP00000486530</t>
  </si>
  <si>
    <t>ENST00000395686,ENST00000553714,ENST00000554019,ENST00000556039,ENST00000555069,ENST00000556358,ENST00000556769,ENST00000554251,ENST00000557178,ENST00000556223,ENST00000629528</t>
  </si>
  <si>
    <t>ENSP00000379042,ENSP00000451204,ENSP00000452020,ENSP00000450655,ENSP00000452269,ENSP00000452093,ENSP00000487101</t>
  </si>
  <si>
    <t>PREDICTED: Homo sapiens CCR4-NOT transcription complex, subunit 6 (CNOT6)</t>
  </si>
  <si>
    <t>XM_011534608,XM_011534607,XM_011534606,XM_011534605,XM_005265953,NM_001303241</t>
  </si>
  <si>
    <t>XP_011532910.1,XP_011532909.1,XP_011532908.1,XP_011532907.1,XP_005266010.1,NP_001290170.1</t>
  </si>
  <si>
    <t>ENST00000510148,ENST00000393356,ENST00000507016,ENST00000502447,ENST00000504343,ENST00000618123,ENST00000261951</t>
  </si>
  <si>
    <t>ENSP00000377024,ENSP00000422087,ENSP00000481893,ENSP00000261951</t>
  </si>
  <si>
    <t>NM_001039538,NM_002374,NM_031845,NM_031847</t>
  </si>
  <si>
    <t>NP_001034627.1,NP_002365.3,NP_114033.2,NP_114035.2</t>
  </si>
  <si>
    <t>ENST00000199940,ENST00000392193,ENST00000360351,ENST00000361559,ENST00000445941,ENST00000392194,ENST00000447185,ENST00000452717,ENST00000471619,ENST00000482864,ENST00000461253,ENST00000481649,ENST00000475600,ENST00000464007,ENST00000478233,ENST00000473543</t>
  </si>
  <si>
    <t>ENSP00000199940,ENSP00000376031,ENSP00000353508,ENSP00000355290,ENSP00000409969,ENSP00000376032,ENSP00000392164,ENSP00000388824</t>
  </si>
  <si>
    <t>NM_152388,NM_001044385</t>
  </si>
  <si>
    <t>NP_689601.2,NP_001037850.1</t>
  </si>
  <si>
    <t>ENST00000409444,ENST00000409883,ENST00000495329,ENST00000286196,ENST00000471318,ENST00000466641,ENST00000466839,ENST00000432684,ENST00000444047,ENST00000489550,ENST00000480124,ENST00000463205,ENST00000621467</t>
  </si>
  <si>
    <t>ENSP00000387203,ENSP00000386264,ENSP00000286196,ENSP00000413230,ENSP00000402681,ENSP00000480508</t>
  </si>
  <si>
    <t>ENST00000474320,ENST00000379221</t>
  </si>
  <si>
    <t>Homo sapiens RAB, member of RAS oncogene family-like 3 (RABL3)</t>
  </si>
  <si>
    <t>ENST00000273375,ENST00000473654,ENST00000485161,ENST00000481015,ENST00000465022,ENST00000491398,ENST00000483733,ENST00000468192</t>
  </si>
  <si>
    <t>ENSP00000273375,ENSP00000419310,ENSP00000417266,ENSP00000418854,ENSP00000420573,ENSP00000419986</t>
  </si>
  <si>
    <t>ENST00000493559,ENST00000608872,ENST00000453291,ENST00000474117,ENST00000476481</t>
  </si>
  <si>
    <t>ENSP00000476369,ENSP00000398662</t>
  </si>
  <si>
    <t>ENST00000378060,ENST00000497149,ENST00000462289,ENST00000492650,ENST00000480923,ENST00000475375,ENST00000611132</t>
  </si>
  <si>
    <t>ENSP00000367299,ENSP00000484968</t>
  </si>
  <si>
    <t>ENST00000290650,ENST00000562173,ENST00000566493,ENST00000568782,ENST00000546274,ENST00000569243,ENST00000564540,ENST00000569066,ENST00000569971,ENST00000563239,ENST00000569337,ENST00000627960</t>
  </si>
  <si>
    <t>ENSP00000290650,ENSP00000477932,ENSP00000457573,ENSP00000457879,ENSP00000456327,ENSP00000455759,ENSP00000456502,ENSP00000454962,ENSP00000486206</t>
  </si>
  <si>
    <t>Homo sapiens solute carrier family 7 (cationic amino acid transporter, y+ system)</t>
  </si>
  <si>
    <t>NM_001164771,NM_001008539,NM_003046</t>
  </si>
  <si>
    <t>NP_001158243.1,NP_001008539.3,NP_003037.4</t>
  </si>
  <si>
    <t>ENST00000494857,ENST00000522656,ENST00000470360,ENST00000004531,ENST00000398090</t>
  </si>
  <si>
    <t>ENSP00000419140,ENSP00000430464,ENSP00000419873,ENSP00000004531,ENSP00000381164</t>
  </si>
  <si>
    <t>ENST00000256858,ENST00000398130,ENST00000587725,ENST00000590713,ENST00000592479,ENST00000591227,ENST00000588446,ENST00000586920,ENST00000587764,ENST00000587198,ENST00000587714,ENST00000593217</t>
  </si>
  <si>
    <t>ENSP00000256858,ENSP00000381198,ENSP00000468816,ENSP00000464995</t>
  </si>
  <si>
    <t>Homo sapiens zinc finger, DHHC-type containing 15 (ZDHHC15)</t>
  </si>
  <si>
    <t>NM_001146256,NM_144969</t>
  </si>
  <si>
    <t>NP_001139728.1,NP_659406.1</t>
  </si>
  <si>
    <t>ENST00000373367,ENST00000482827,ENST00000541184</t>
  </si>
  <si>
    <t>ENSP00000362465,ENSP00000445420</t>
  </si>
  <si>
    <t>ENST00000285420,ENST00000522894,ENST00000524027,ENST00000404789,ENST00000617869,ENST00000615618</t>
  </si>
  <si>
    <t>ENSP00000285420,ENSP00000428528,ENSP00000384190,ENSP00000483706,ENSP00000481196</t>
  </si>
  <si>
    <t>NM_001017408,NM_020399</t>
  </si>
  <si>
    <t>NP_001017408.1,NP_065132.1</t>
  </si>
  <si>
    <t>ENST00000368498,ENST00000052569,ENST00000535237</t>
  </si>
  <si>
    <t>ENSP00000357484,ENSP00000052569,ENSP00000445690</t>
  </si>
  <si>
    <t>ENST00000436632,ENST00000259467,ENST00000394285</t>
  </si>
  <si>
    <t>ENSP00000397984,ENSP00000259467,ENSP00000377826</t>
  </si>
  <si>
    <t>Homo sapiens transforming growth factor, beta receptor 1 (TGFBR1)</t>
  </si>
  <si>
    <t>NM_004612,NM_001130916</t>
  </si>
  <si>
    <t>NP_004603.1,NP_001124388.1</t>
  </si>
  <si>
    <t>ENST00000547314,ENST00000552573,ENST00000374994,ENST00000374990,ENST00000549766,ENST00000552516,ENST00000549021,ENST00000548365,ENST00000550253,ENST00000546584</t>
  </si>
  <si>
    <t>ENSP00000449934,ENSP00000447182,ENSP00000364133,ENSP00000364129,ENSP00000446685,ENSP00000447297,ENSP00000449028,ENSP00000448518,ENSP00000450052,ENSP00000447707</t>
  </si>
  <si>
    <t>Homo sapiens protein kinase, AMP-activated, beta 2 non-catalytic subunit (PRKAB2)</t>
  </si>
  <si>
    <t>ENST00000254101,ENST00000496858,ENST00000474939</t>
  </si>
  <si>
    <t>Homo sapiens cytochrome P450, family 2, subfamily U, polypeptide 1 (CYP2U1)</t>
  </si>
  <si>
    <t>ENST00000332884,ENST00000513302,ENST00000508453</t>
  </si>
  <si>
    <t>ENSP00000333212,ENSP00000423667</t>
  </si>
  <si>
    <t>NM_032457,NM_001173523</t>
  </si>
  <si>
    <t>NP_115833.2,NP_001166994.1</t>
  </si>
  <si>
    <t>NR_027878,NR_027639,NR_027638,NM_003816</t>
  </si>
  <si>
    <t>-,-,-,NP_003807.1</t>
  </si>
  <si>
    <t>ENST00000466936,ENST00000481513,ENST00000487273,ENST00000481873,ENST00000468065,ENST00000379917,ENST00000481058,ENST00000484143,ENST00000463437</t>
  </si>
  <si>
    <t>ENSP00000420257,ENSP00000417066,ENSP00000419446,ENSP00000418437,ENSP00000418737,ENSP00000369249</t>
  </si>
  <si>
    <t>NM_020779,NM_001006657</t>
  </si>
  <si>
    <t>NP_065830.2,NP_001006658.1</t>
  </si>
  <si>
    <t>ENST00000281405,ENST00000345530,ENST00000445063,ENST00000414212,ENST00000453014,ENST00000494964</t>
  </si>
  <si>
    <t>ENSP00000281405,ENSP00000314444,ENSP00000390105,ENSP00000390802,ENSP00000404409</t>
  </si>
  <si>
    <t>Homo sapiens ATPase, aminophospholipid transporter, class I, type 8B, member 1 (ATP8B1)</t>
  </si>
  <si>
    <t>ENST00000283684,ENST00000588255,ENST00000589147,ENST00000591728,ENST00000585322,ENST00000536015</t>
  </si>
  <si>
    <t>ENSP00000283684,ENSP00000468266,ENSP00000467767,ENSP00000468751,ENSP00000445359</t>
  </si>
  <si>
    <t>ENST00000244364,ENST00000370788,ENST00000523292,ENST00000518464,ENST00000466429,ENST00000482156,ENST00000361203,ENST00000523597,ENST00000524216,ENST00000523943,ENST00000492944,ENST00000517840,ENST00000487754,ENST00000459869,ENST00000340834,ENST00000524186,ENST00000520144,ENST00000518398,ENST00000439203,ENST00000520645,ENST00000370765,ENST00000522360,ENST00000518935,ENST00000523967,ENST00000521104,ENST00000449297,ENST00000518828,ENST00000521821,ENST00000633795,ENST00000522538,ENST00000523817,ENST00000517937,ENST00000524302,ENST00000312431,ENST00000370754,ENST00000421834</t>
  </si>
  <si>
    <t>ENSP00000244364,ENSP00000359824,ENSP00000431020,ENSP00000354508,ENSP00000430472,ENSP00000431121,ENSP00000404924,ENSP00000431030,ENSP00000359801,ENSP00000428068,ENSP00000431003,ENSP00000393082,ENSP00000488192,ENSP00000429075,ENSP00000429221,ENSP00000307959,ENSP00000359790,ENSP00000400883</t>
  </si>
  <si>
    <t>ENST00000456682,ENST00000409785,ENST00000428691,ENST00000453448</t>
  </si>
  <si>
    <t>ENSP00000414214,ENSP00000386738,ENSP00000409499,ENSP00000391340</t>
  </si>
  <si>
    <t>Homo sapiens N-ethylmaleimide-sensitive factor attachment protein, gamma (NAPG)</t>
  </si>
  <si>
    <t>ENST00000580483,ENST00000580224,ENST00000322897,ENST00000582978,ENST00000580746,ENST00000582472,ENST00000583367</t>
  </si>
  <si>
    <t>ENSP00000464496,ENSP00000463265,ENSP00000324628,ENSP00000463018</t>
  </si>
  <si>
    <t>NM_001195434,NM_001195433,NM_001195432,NM_001130156,NM_001130157,NM_022443</t>
  </si>
  <si>
    <t>NP_001182363.1,NP_001182362.1,NP_001182361.1,NP_001123628.1,NP_001123629.1,NP_071888.1</t>
  </si>
  <si>
    <t>ENST00000491767,ENST00000355893,ENST00000484955,ENST00000359117,ENST00000498592,ENST00000477042,ENST00000495452,ENST00000471745,ENST00000497004,ENST00000469452,ENST00000482628,ENST00000478894,ENST00000487838,ENST00000466246,ENST00000392822,ENST00000618075,ENST00000619577</t>
  </si>
  <si>
    <t>ENSP00000420410,ENSP00000348157,ENSP00000417835,ENSP00000352025,ENSP00000419636,ENSP00000419637,ENSP00000419775,ENSP00000420134,ENSP00000418595,ENSP00000417141,ENSP00000417777,ENSP00000419241,ENSP00000417278,ENSP00000376568,ENSP00000484169,ENSP00000483337</t>
  </si>
  <si>
    <t>ENST00000513201,ENST00000512480,ENST00000511685,ENST00000510504,ENST00000502950,ENST00000507737,ENST00000406950</t>
  </si>
  <si>
    <t>ENSP00000421320,ENSP00000424226,ENSP00000426914,ENSP00000385276</t>
  </si>
  <si>
    <t>ENST00000491959,ENST00000478083,ENST00000306176,ENST00000466937</t>
  </si>
  <si>
    <t>ENSP00000420265,ENSP00000307801,ENSP00000418253</t>
  </si>
  <si>
    <t>ENST00000397292,ENST00000517642,ENST00000487173,ENST00000520884,ENST00000520641,ENST00000521968,ENST00000523212</t>
  </si>
  <si>
    <t>ENSP00000380460,ENSP00000430447,ENSP00000430734,ENSP00000429372,ENSP00000428111</t>
  </si>
  <si>
    <t>NM_001195308,NM_001008390,NM_003663</t>
  </si>
  <si>
    <t>NP_001182237.1,NP_001008391.1,NP_003654.3</t>
  </si>
  <si>
    <t>ENST00000309534,ENST00000398392,ENST00000482016,ENST00000462901,ENST00000467332,ENST00000474441</t>
  </si>
  <si>
    <t>ENSP00000381428,ENSP00000381429,ENSP00000420374,ENSP00000418769,ENSP00000419459</t>
  </si>
  <si>
    <t>Homo sapiens armadillo repeat containing, X-linked 3 (ARMCX3)</t>
  </si>
  <si>
    <t>NM_177948,NM_177947,NM_016607</t>
  </si>
  <si>
    <t>NP_808817.1,NP_808816.1,NP_057691.1</t>
  </si>
  <si>
    <t>ENST00000341189,ENST00000471229,ENST00000491568,ENST00000479298,ENST00000477980,ENST00000467808,ENST00000537169</t>
  </si>
  <si>
    <t>ENSP00000340672,ENSP00000454483,ENSP00000457997,ENSP00000454251,ENSP00000439032</t>
  </si>
  <si>
    <t>ENST00000507065,ENST00000296862,ENST00000467205,ENST00000398742</t>
  </si>
  <si>
    <t>ENSP00000422934,ENSP00000296862,ENSP00000425269,ENSP00000381727</t>
  </si>
  <si>
    <t>NM_001253693,NM_018298</t>
  </si>
  <si>
    <t>NP_001240622.1,NP_060768.8</t>
  </si>
  <si>
    <t>ENST00000370589,ENST00000474447,ENST00000341115,ENST00000370587,ENST00000490600,ENST00000475312</t>
  </si>
  <si>
    <t>ENSP00000359621,ENSP00000342698,ENSP00000359619,ENSP00000474024</t>
  </si>
  <si>
    <t>Homo sapiens ST6 beta-galactosamide alpha-2,6-sialyltranferase 2 (ST6GAL2)</t>
  </si>
  <si>
    <t>NM_032528,NM_001142351</t>
  </si>
  <si>
    <t>NP_115917.1,NP_001135823.1</t>
  </si>
  <si>
    <t>ENST00000361686,ENST00000409382,ENST00000361803,ENST00000409087,ENST00000419159</t>
  </si>
  <si>
    <t>ENSP00000355273,ENSP00000386942,ENSP00000355386,ENSP00000387332,ENSP00000395581</t>
  </si>
  <si>
    <t>ENST00000381967,ENST00000515668,ENST00000505986,ENST00000512556,ENST00000510084,ENST00000625312</t>
  </si>
  <si>
    <t>ENSP00000371393,ENSP00000426738,ENSP00000423269,ENSP00000425733,ENSP00000422785,ENSP00000485904</t>
  </si>
  <si>
    <t>Homo sapiens tetratricopeptide repeat, ankyrin repeat and coiled-coil containing 1 (TANC1)</t>
  </si>
  <si>
    <t>NM_001145909,NM_033394</t>
  </si>
  <si>
    <t>NP_001139381.1,NP_203752.2</t>
  </si>
  <si>
    <t>ENST00000263635,ENST00000464096,ENST00000465963,ENST00000470074,ENST00000496406,ENST00000454300</t>
  </si>
  <si>
    <t>ENSP00000263635,ENSP00000396339</t>
  </si>
  <si>
    <t>ENST00000479505,ENST00000209884,ENST00000483154,ENST00000493170,ENST00000488983</t>
  </si>
  <si>
    <t>NM_017667,NM_001257998</t>
  </si>
  <si>
    <t>NP_060137.2,NP_001244927.1</t>
  </si>
  <si>
    <t>ENST00000251739,ENST00000305866,ENST00000438395,ENST00000441602,ENST00000458530,ENST00000485994,ENST00000436177,ENST00000477935,ENST00000476413,ENST00000471188,ENST00000495039,ENST00000458707,ENST00000484954,ENST00000485140,ENST00000477572,ENST00000467326,ENST00000480943,ENST00000474412,ENST00000443443,ENST00000544910</t>
  </si>
  <si>
    <t>ENSP00000251739,ENSP00000307666,ENSP00000395433,ENSP00000415809,ENSP00000405553,ENSP00000406787,ENSP00000414450,ENSP00000390584,ENSP00000443104</t>
  </si>
  <si>
    <t>NM_001261829,NM_032778,NM_153182,NM_001042533</t>
  </si>
  <si>
    <t>NP_001248758.1,NP_116167.3,NP_694822.2,NP_001035998.1</t>
  </si>
  <si>
    <t>ENST00000333396,ENST00000394198,ENST00000506682,ENST00000360258,ENST00000503517,ENST00000503097,ENST00000514314,ENST00000507612,ENST00000506099</t>
  </si>
  <si>
    <t>ENSP00000328251,ENSP00000377748,ENSP00000353395,ENSP00000421347,ENSP00000424955,ENSP00000424530,ENSP00000423816</t>
  </si>
  <si>
    <t>ENST00000367833,ENST00000367830</t>
  </si>
  <si>
    <t>ENSP00000356807,ENSP00000356804</t>
  </si>
  <si>
    <t>Homo sapiens MET proto-oncogene, receptor tyrosine kinase (MET)</t>
  </si>
  <si>
    <t>NM_001127500,NM_000245</t>
  </si>
  <si>
    <t>NP_001120972.1,NP_000236.2</t>
  </si>
  <si>
    <t>ENST00000456159,ENST00000397752,ENST00000318493,ENST00000495962,ENST00000422097,ENST00000454623,ENST00000436117</t>
  </si>
  <si>
    <t>ENSP00000413857,ENSP00000380860,ENSP00000317272,ENSP00000398776,ENSP00000398140,ENSP00000410980</t>
  </si>
  <si>
    <t>ENST00000474629,ENST00000494811,ENST00000483611,ENST00000460683,ENST00000474669,ENST00000475640</t>
  </si>
  <si>
    <t>ENSP00000418194,ENSP00000418535,ENSP00000420649</t>
  </si>
  <si>
    <t>Homo sapiens cleavage and polyadenylation specific factor 6, 68kDa (CPSF6)</t>
  </si>
  <si>
    <t>ENST00000435070,ENST00000550075,ENST00000456847,ENST00000266679,ENST00000550987,ENST00000551516,ENST00000547486</t>
  </si>
  <si>
    <t>ENSP00000391774,ENSP00000446670,ENSP00000391437,ENSP00000266679,ENSP00000450206</t>
  </si>
  <si>
    <t>ENST00000560840,ENST00000559215,ENST00000258886,ENST00000558525,ENST00000560440,ENST00000558570,ENST00000560454,ENST00000559427,ENST00000559676,ENST00000559091</t>
  </si>
  <si>
    <t>ENSP00000453172,ENSP00000453532,ENSP00000258886,ENSP00000453058,ENSP00000452938,ENSP00000454063,ENSP00000453863</t>
  </si>
  <si>
    <t>ENST00000366641,ENST00000476717</t>
  </si>
  <si>
    <t>Homo sapiens Cbl proto-oncogene-like 1, E3 ubiquitin protein ligase (CBLL1)</t>
  </si>
  <si>
    <t>NM_024814,NR_024199</t>
  </si>
  <si>
    <t>NP_079090.2,-</t>
  </si>
  <si>
    <t>ENST00000440859,ENST00000479443,ENST00000432748,ENST00000222597,ENST00000493361,ENST00000487517,ENST00000415884,ENST00000420796</t>
  </si>
  <si>
    <t>ENSP00000401277,ENSP00000401374,ENSP00000222597,ENSP00000401175,ENSP00000410615</t>
  </si>
  <si>
    <t>ENST00000338965,ENST00000530403</t>
  </si>
  <si>
    <t>ENSP00000341637,ENSP00000434394</t>
  </si>
  <si>
    <t>ENST00000253814,ENST00000509436,ENST00000505614,ENST00000503388</t>
  </si>
  <si>
    <t>ENST00000305997,ENST00000471753,ENST00000486315,ENST00000473432,ENST00000486484,ENST00000494760,ENST00000477073,ENST00000474341,ENST00000462696,ENST00000460786</t>
  </si>
  <si>
    <t>ENSP00000302177,ENSP00000419573,ENSP00000420114,ENSP00000417409</t>
  </si>
  <si>
    <t>ENST00000324324,ENST00000558289,ENST00000560530,ENST00000267836,ENST00000560172,ENST00000559057,ENST00000558395,ENST00000560513,ENST00000561301,ENST00000561351,ENST00000557868,ENST00000559862,ENST00000560157,ENST00000561151,ENST00000610570,ENST00000620867,ENST00000616409</t>
  </si>
  <si>
    <t>ENSP00000316950,ENSP00000267836,ENSP00000452918,ENSP00000453830,ENSP00000453125,ENSP00000452913,ENSP00000480118,ENSP00000480281,ENSP00000478898</t>
  </si>
  <si>
    <t>NM_019095,NM_001127458</t>
  </si>
  <si>
    <t>NP_061968.1,NP_001120930.1</t>
  </si>
  <si>
    <t>ENST00000378863,ENST00000378868,ENST00000609154,ENST00000489345,ENST00000464921,ENST00000478846,ENST00000452938</t>
  </si>
  <si>
    <t>ENSP00000368140,ENSP00000368145,ENSP00000416770</t>
  </si>
  <si>
    <t>Homo sapiens family with sequence similarity 126, member A (FAM126A)</t>
  </si>
  <si>
    <t>ENST00000421730,ENST00000432176,ENST00000440481,ENST00000409923,ENST00000498833,ENST00000477349,ENST00000409763,ENST00000467005,ENST00000465661</t>
  </si>
  <si>
    <t>ENSP00000403396,ENSP00000397168,ENSP00000386246,ENSP00000386624</t>
  </si>
  <si>
    <t>Homo sapiens TBC1 domain family, member 3B (TBC1D3B)|Homo sapiens TBC1 domain family, member 3 (TBC1D3)|Homo sapiens TBC1 domain family, member 3F (TBC1D3F)|Homo sapiens TBC1 domain family, member 3C (TBC1D3C)|Homo sapiens TBC1 domain family, member 3 pseudogene 2 (TBC1D3P2)|Homo sapiens TBC1 domain family, member 3H (TBC1D3H)</t>
  </si>
  <si>
    <t>ENST00000611257,ENST00000622280,ENST00000616006,ENST00000610580,ENST00000615673|ENST00000620215|ENST00000620210,ENST00000621026,ENST00000617882|ENST00000622206,ENST00000617125|ENST00000610350,ENST00000610412</t>
  </si>
  <si>
    <t>ENSP00000478473,ENSP00000478440,ENSP00000479418,ENSP00000484556|ENSP00000478683|ENSP00000477679,ENSP00000482590,ENSP00000480354|ENSP00000482345,ENSP00000480107|ENSP00000482630,ENSP00000480462</t>
  </si>
  <si>
    <t>ENST00000595646,ENST00000243639,ENST00000597924,ENST00000601847,ENST00000602144,ENST00000601980,ENST00000396409</t>
  </si>
  <si>
    <t>ENSP00000470381,ENSP00000243639,ENSP00000469779,ENSP00000470717,ENSP00000471675,ENSP00000469733,ENSP00000379690</t>
  </si>
  <si>
    <t>ENST00000565905,ENST00000563330,ENST00000361627,ENST00000567348,ENST00000563864,ENST00000543522,ENST00000562481,ENST00000564918|ENST00000622744</t>
  </si>
  <si>
    <t>ENSP00000455754,ENSP00000355090,ENSP00000454575,ENSP00000456078,ENSP00000440073,ENSP00000455593|ENSP00000481934</t>
  </si>
  <si>
    <t>Homo sapiens neuroblastoma breakpoint family, member 15 (NBPF15)|Homo sapiens neuroblastoma breakpoint family, member 14 (NBPF14)|Homo sapiens neuroblastoma breakpoint family, member 11 (NBPF11)|Homo sapiens neuroblastoma breakpoint family, member 3 (NBPF3)|Homo sapiens neuroblastoma breakpoint family, member 22, pseudogene (NBPF22P)</t>
  </si>
  <si>
    <t>NM_001170755,NM_173638|NM_015383|NM_183372|NM_032264,NM_001256417,NM_001256416,NR_046176|NR_003719</t>
  </si>
  <si>
    <t>NP_001164226.1,NP_775909.2|NP_056198.2|NP_899228.4|NP_115640.1,NP_001243346.1,NP_001243345.1,-|-</t>
  </si>
  <si>
    <t>ENST00000488031,ENST00000584793,ENST00000579734,ENST00000478419,ENST00000584575,ENST00000578953,ENST00000581897,ENST00000577412|ENST00000611826|ENST00000614506,ENST00000615281,ENST00000613531,ENST00000614015,ENST00000614785,ENST00000580077|ENST00000454000,ENST00000475869,ENST00000318220,ENST00000478653,ENST00000485941,ENST00000342104,ENST00000486229,ENST00000318249,ENST00000434838,ENST00000467103,ENST00000469876,ENST00000477050,ENST00000619554</t>
  </si>
  <si>
    <t>ENSP00000481835,ENSP00000463178,ENSP00000462600|ENSP00000479380|ENSP00000478618,ENSP00000477509,ENSP00000477874,ENSP00000484213,ENSP00000479429,ENSP00000463391|ENSP00000415711,ENSP00000316739,ENSP00000340336,ENSP00000478530,ENSP00000316782,ENSP00000391865,ENSP00000479028,ENSP00000484028</t>
  </si>
  <si>
    <t>NM_152246,NM_004377,NM_001145137,NM_001145135,NM_001145134,NM_152245|NR_027928</t>
  </si>
  <si>
    <t>NP_689452.1,NP_004368.1,NP_001138609.1,NP_001138607.1,NP_001138606.1,NP_689451.1|-</t>
  </si>
  <si>
    <t>NM_021649|NM_001164469,NM_001164468</t>
  </si>
  <si>
    <t>NP_067681.1|NP_001157941.1,NP_001157940.1</t>
  </si>
  <si>
    <t>ENST00000427199,ENST00000513729|ENST00000282382,ENST00000333314,ENST00000514548</t>
  </si>
  <si>
    <t>ENSP00000415139|ENSP00000282382,ENSP00000333650</t>
  </si>
  <si>
    <t>NM_175868,NM_005363|NM_005362</t>
  </si>
  <si>
    <t>NP_787064.1,NP_005354.1|NP_005353.1</t>
  </si>
  <si>
    <t>ENST00000329342,ENST00000457643,ENST00000412733,ENST00000616035|ENST00000370278,ENST00000417212,ENST00000598245</t>
  </si>
  <si>
    <t>ENSP00000329199,ENSP00000401806,ENSP00000403303,ENSP00000480637|ENSP00000359301,ENSP00000392758,ENSP00000473093</t>
  </si>
  <si>
    <t>ENST00000327134,ENST00000481344,ENST00000426668</t>
  </si>
  <si>
    <t>ENSP00000314067,ENSP00000402927</t>
  </si>
  <si>
    <t>Homo sapiens transcription factor A, mitochondrial pseudogene 1 (TFAMP1)</t>
  </si>
  <si>
    <t>ENST00000378123,ENST00000531613|ENST00000378126,ENST00000529310,ENST00000527624|ENST00000378133,ENST00000394633,ENST00000504120|ENST00000378132,ENST00000520672,ENST00000526136|ENST00000616325,ENST00000398640,ENST00000617408|ENST00000562220,ENST00000506939,ENST00000307360|ENST00000409494,ENST00000617769,ENST00000289272|ENST00000614258,ENST00000529619,ENST00000529859|ENST00000618834,ENST00000512229,ENST00000530339,ENST00000378125|ENST00000532566,ENST00000522353</t>
  </si>
  <si>
    <t>ENSP00000367363,ENSP00000434655|ENSP00000367366,ENSP00000433378,ENSP00000434113|ENSP00000367373,ENSP00000378129,ENSP00000420840|ENSP00000367372,ENSP00000430584,ENSP00000431748|ENSP00000482503,ENSP00000381636,ENSP00000482347|ENSP00000478748,ENSP00000421030,ENSP00000304234|ENSP00000386821,ENSP00000479167,ENSP00000289272|ENSP00000484128,ENSP00000433416,ENSP00000436557|ENSP00000481220,ENSP00000423470,ENSP00000435300,ENSP00000367365|ENSP00000434086,ENSP00000429808</t>
  </si>
  <si>
    <t>Homo sapiens cation channel, sperm associated 2 (CATSPER2)|Homo sapiens cation channel, sperm associated 2 pseudogene 1 (CATSPER2P1)</t>
  </si>
  <si>
    <t>NM_172095,NM_054020|NR_002318</t>
  </si>
  <si>
    <t>NP_742093.1,NP_473361.1|-</t>
  </si>
  <si>
    <t>ENST00000396879,ENST00000381761,ENST00000469461,ENST00000450810,ENST00000433380,ENST00000321596,ENST00000419262,ENST00000472960,ENST00000415968,ENST00000464721,ENST00000432420,ENST00000409481|ENST00000446479,ENST00000439564,ENST00000381680,ENST00000416302,ENST00000429276</t>
  </si>
  <si>
    <t>ENSP00000380088,ENSP00000371180,ENSP00000388242,ENSP00000389746,ENSP00000321463,ENSP00000408240,ENSP00000407694,ENSP00000386595|</t>
  </si>
  <si>
    <t>ENST00000409776|ENST00000409886,ENST00000304514</t>
  </si>
  <si>
    <t>ENSP00000386808|ENSP00000386588,ENSP00000303659</t>
  </si>
  <si>
    <t>Homo sapiens leucine rich repeat containing 37, member A3 (LRRC37A3)|Homo sapiens leucine rich repeat containing 37, member A6, pseudogene (LRRC37A6P)</t>
  </si>
  <si>
    <t>ENST00000339474,ENST00000400877,ENST00000334962,ENST00000584306,ENST00000583510,ENST00000579305,ENST00000581368,ENST00000584788,ENST00000580464,ENST00000580439,ENST00000577487,ENST00000319651</t>
  </si>
  <si>
    <t>ENSP00000344298,ENSP00000383674,ENSP00000335617,ENSP00000464535,ENSP00000462872,ENSP00000463346,ENSP00000462864,ENSP00000463186,ENSP00000325713</t>
  </si>
  <si>
    <t>Homo sapiens axin interactor, dorsalization associated (AIDA)</t>
  </si>
  <si>
    <t>ENST00000340020,ENST00000474863,ENST00000495670,ENST00000355727,ENST00000470437,ENST00000497112</t>
  </si>
  <si>
    <t>ENSP00000339161,ENSP00000347964</t>
  </si>
  <si>
    <t>ENST00000520001,ENST00000265707,ENST00000379866,ENST00000520772,ENST00000520087,ENST00000520559,ENST00000523755,ENST00000524117</t>
  </si>
  <si>
    <t>ENSP00000429335,ENSP00000265707,ENSP00000369195,ENSP00000429908,ENSP00000428083</t>
  </si>
  <si>
    <t>Homo sapiens musculoskeletal, embryonic nuclear protein 1 (MUSTN1)</t>
  </si>
  <si>
    <t>ENST00000486659,ENST00000446157</t>
  </si>
  <si>
    <t>ENSP00000419877,ENSP00000410910</t>
  </si>
  <si>
    <t>Homo sapiens solute carrier family 35, member E2 (SLC35E2)</t>
  </si>
  <si>
    <t>ENST00000355439,ENST00000475229,ENST00000246421</t>
  </si>
  <si>
    <t>ENSP00000347614,ENSP00000246421</t>
  </si>
  <si>
    <t>Homo sapiens ELK4, ETS-domain protein (SRF accessory protein 1)</t>
  </si>
  <si>
    <t>ENST00000616704,ENST00000617725,ENST00000357992,ENST00000289703,ENST00000468523</t>
  </si>
  <si>
    <t>ENSP00000483628,ENSP00000350681,ENSP00000289703,ENSP00000484946</t>
  </si>
  <si>
    <t>Homo sapiens nuclear factor of activated T-cells 5, tonicity-responsive (NFAT5)</t>
  </si>
  <si>
    <t>ENST00000426654,ENST00000354436,ENST00000567990,ENST00000567239,ENST00000627621,ENST00000393742,ENST00000566899,ENST00000565301,ENST00000563474,ENST00000562429,ENST00000568832,ENST00000349945</t>
  </si>
  <si>
    <t>ENSP00000413126,ENSP00000346420,ENSP00000455115,ENSP00000457593,ENSP00000486610,ENSP00000377343,ENSP00000455628,ENSP00000463214,ENSP00000462061,ENSP00000338806</t>
  </si>
  <si>
    <t>NM_001103148,NM_001103147,NM_001103146,NM_015575</t>
  </si>
  <si>
    <t>NP_001096618.1,NP_001096617.1,NP_001096616.1,NP_056390.2</t>
  </si>
  <si>
    <t>ENST00000476995,ENST00000427233,ENST00000373563,ENST00000428883,ENST00000456491,ENST00000409480,ENST00000484409,ENST00000492910,ENST00000488629,ENST00000464402,ENST00000490612,ENST00000475359,ENST00000421433,ENST00000425040,ENST00000430720,ENST00000409547,ENST00000423659,ENST00000409196,ENST00000488734,ENST00000409451,ENST00000474465,ENST00000463554,ENST00000429187,ENST00000440945,ENST00000482666,ENST00000483164,ENST00000490229,ENST00000464805,ENST00000489328,ENST00000424038,ENST00000424414,ENST00000445650,ENST00000436349,ENST00000473170,ENST00000475530,ENST00000421778,ENST00000455139,ENST00000427649,ENST00000410033,ENST00000458528,ENST00000482952,ENST00000474312,ENST00000469843,ENST00000471011,ENST00000426102,ENST00000629305</t>
  </si>
  <si>
    <t>ENSP00000396590,ENSP00000362664,ENSP00000402712,ENSP00000413612,ENSP00000386765,ENSP00000402053,ENSP00000407161,ENSP00000396958,ENSP00000386537,ENSP00000404195,ENSP00000387070,ENSP00000387170,ENSP00000392991,ENSP00000410297,ENSP00000399064,ENSP00000401261,ENSP00000392218,ENSP00000400076,ENSP00000390325,ENSP00000395299,ENSP00000398055,ENSP00000387276,ENSP00000389322,ENSP00000415037,ENSP00000487548</t>
  </si>
  <si>
    <t>ENSP00000322300,ENSP00000448292,ENSP00000448630,ENSP00000447609</t>
  </si>
  <si>
    <t>Homo sapiens neural precursor cell expressed, developmentally down-regulated 1 (NEDD1)</t>
  </si>
  <si>
    <t>NM_001135177,NM_001135176,NM_152905,NM_001135175</t>
  </si>
  <si>
    <t>NP_001128649.1,NP_001128648.1,NP_690869.1,NP_001128647.1</t>
  </si>
  <si>
    <t>ENST00000266742,ENST00000429527,ENST00000554226,ENST00000557478,ENST00000557092,ENST00000555806,ENST00000555114,ENST00000411739,ENST00000557400,ENST00000553609,ENST00000557454,ENST00000557644,ENST00000457368</t>
  </si>
  <si>
    <t>ENSP00000266742,ENSP00000404978,ENSP00000450881,ENSP00000451869,ENSP00000450757,ENSP00000450828,ENSP00000411307,ENSP00000451830,ENSP00000451211,ENSP00000407964</t>
  </si>
  <si>
    <t>ENST00000261332,ENST00000589881,ENST00000399061,ENST00000590140,ENST00000589539,ENST00000593130</t>
  </si>
  <si>
    <t>ENSP00000261332,ENSP00000467655,ENSP00000382015,ENSP00000467432,ENSP00000467608,ENSP00000467924</t>
  </si>
  <si>
    <t>Homo sapiens eukaryotic translation initiation factor 4 gamma, 2 (EIF4G2)</t>
  </si>
  <si>
    <t>NM_001172705,NM_001042559,NM_001418</t>
  </si>
  <si>
    <t>NP_001166176.1,NP_001036024.3,NP_001409.3</t>
  </si>
  <si>
    <t>ENST00000526148,ENST00000525681,ENST00000532383,ENST00000339995,ENST00000396525,ENST00000532120,ENST00000525606,ENST00000534470,ENST00000534272,ENST00000528839,ENST00000531180,ENST00000530564,ENST00000531416,ENST00000531647,ENST00000532082,ENST00000532349,ENST00000524932,ENST00000527015,ENST00000534605,ENST00000532152,ENST00000527419,ENST00000531507,ENST00000525972,ENST00000528562,ENST00000532570,ENST00000530211,ENST00000527526,ENST00000530702,ENST00000525995,ENST00000533485,ENST00000534246</t>
  </si>
  <si>
    <t>ENSP00000433664,ENSP00000433371,ENSP00000340281,ENSP00000379778,ENSP00000434815,ENSP00000433561,ENSP00000431583,ENSP00000433217,ENSP00000433121,ENSP00000435523,ENSP00000436680,ENSP00000434940,ENSP00000435220,ENSP00000431511,ENSP00000433335,ENSP00000436235,ENSP00000435912</t>
  </si>
  <si>
    <t>ENSP00000371282,ENSP00000371278</t>
  </si>
  <si>
    <t>ENSP00000296679,ENSP00000426499,ENSP00000424287,ENSP00000425563,ENSP00000427291,ENSP00000427652,ENSP00000423540,ENSP00000425249,ENSP00000424327,ENSP00000427219,ENSP00000423462,ENSP00000426937,ENSP00000421166,ENSP00000422510,ENSP00000426141,ENSP00000422922,ENSP00000425813,ENSP00000392931</t>
  </si>
  <si>
    <t>NM_001257414,NM_001257413,NM_001257412,NM_001257411,NM_001257410,NM_001257409,NM_001257408,NM_183232,NM_183231,NM_183230,NM_183229,NM_183228,NM_012481</t>
  </si>
  <si>
    <t>NP_001244343.1,NP_001244342.1,NP_001244341.1,NP_001244340.1,NP_001244339.1,NP_001244338.1,NP_001244337.1,NP_899055.1,NP_899054.1,NP_899053.1,NP_899052.1,NP_899051.1,NP_036613.2</t>
  </si>
  <si>
    <t>ENST00000346872,ENST00000439167,ENST00000348427,ENST00000293068,ENST00000377945,ENST00000394189,ENST00000377944,ENST00000377958,ENST00000535189,ENST00000377952,ENST00000583368,ENST00000351680,ENST00000346243,ENST00000350532,ENST00000467757,ENST00000439016,ENST00000623724</t>
  </si>
  <si>
    <t>ENSP00000344544,ENSP00000403776,ENSP00000463505,ENSP00000462791,ENSP00000367180,ENSP00000377741,ENSP00000367179,ENSP00000367194,ENSP00000438972,ENSP00000367188,ENSP00000462452,ENSP00000345622,ENSP00000341977,ENSP00000344471,ENSP00000420463,ENSP00000403027,ENSP00000485515</t>
  </si>
  <si>
    <t>ENSP00000386292,ENSP00000404283,ENSP00000403867,ENSP00000340087,ENSP00000410306</t>
  </si>
  <si>
    <t>ENST00000354619,ENST00000264181,ENST00000366589</t>
  </si>
  <si>
    <t>ENSP00000346635,ENSP00000264181,ENSP00000355548</t>
  </si>
  <si>
    <t>NM_001199699,NM_020162</t>
  </si>
  <si>
    <t>NP_001186628.1,NP_064547.2</t>
  </si>
  <si>
    <t>ENST00000225296,ENST00000575153,ENST00000433302,ENST00000572490,ENST00000574023</t>
  </si>
  <si>
    <t>ENSP00000225296,ENSP00000413779,ENSP00000458925,ENSP00000458203</t>
  </si>
  <si>
    <t>Homo sapiens serine palmitoyltransferase, long chain base subunit 2 (SPTLC2)</t>
  </si>
  <si>
    <t>ENST00000216484,ENST00000556607,ENST00000554901,ENST00000554365,ENST00000556264,ENST00000557566</t>
  </si>
  <si>
    <t>ENSP00000216484,ENSP00000451029,ENSP00000452189</t>
  </si>
  <si>
    <t>NM_174938,NM_001244960</t>
  </si>
  <si>
    <t>NP_777598.3,NP_001231889.1</t>
  </si>
  <si>
    <t>ENST00000328788,ENST00000376434,ENST00000376438,ENST00000304195,ENST00000465485,ENST00000431299,ENST00000621208</t>
  </si>
  <si>
    <t>ENSP00000328615,ENSP00000365617,ENSP00000365621,ENSP00000303508,ENSP00000412719,ENSP00000484839</t>
  </si>
  <si>
    <t>ENSP00000158771,ENSP00000460671,ENSP00000459083,ENSP00000459072,ENSP00000461603,ENSP00000467794,ENSP00000458296,ENSP00000459154,ENSP00000458448</t>
  </si>
  <si>
    <t>ENSP00000406156,ENSP00000322265,ENSP00000391472,ENSP00000406967</t>
  </si>
  <si>
    <t>ENSP00000398321,ENSP00000377170</t>
  </si>
  <si>
    <t>NM_001258334,NM_001258333,NM_002108</t>
  </si>
  <si>
    <t>NP_001245263.1,NP_001245262.1,NP_002099.1</t>
  </si>
  <si>
    <t>ENST00000261208,ENST00000544080,ENST00000538703,ENST00000546999,ENST00000548808,ENST00000548636,ENST00000552509,ENST00000551562,ENST00000549376,ENST00000546579,ENST00000541929</t>
  </si>
  <si>
    <t>ENSP00000261208,ENSP00000439385,ENSP00000440861,ENSP00000447675,ENSP00000446678,ENSP00000450372,ENSP00000447543,ENSP00000446364</t>
  </si>
  <si>
    <t>NM_001199580,NM_001199579,NM_015374</t>
  </si>
  <si>
    <t>NP_001186509.1,NP_001186508.1,NP_056189.1</t>
  </si>
  <si>
    <t>ENST00000405510,ENST00000405018,ENST00000406622,ENST00000455125,ENST00000470642,ENST00000477262,ENST00000469086,ENST00000464202,ENST00000430185,ENST00000438058,ENST00000456894,ENST00000480307,ENST00000420859,ENST00000452294,ENST00000494273,ENST00000433561,ENST00000417332,ENST00000439339</t>
  </si>
  <si>
    <t>ENSP00000385740,ENSP00000385616,ENSP00000383992,ENSP00000390154,ENSP00000403694,ENSP00000406941,ENSP00000415588,ENSP00000408834,ENSP00000414950,ENSP00000411615,ENSP00000412928,ENSP00000393271</t>
  </si>
  <si>
    <t>ENSP00000456705,ENSP00000305459,ENSP00000455954,ENSP00000464395,ENSP00000484442</t>
  </si>
  <si>
    <t>ENST00000397602,ENST00000442682,ENST00000458494,ENST00000413208,ENST00000472775</t>
  </si>
  <si>
    <t>ENSP00000380727,ENSP00000390407,ENSP00000393891,ENSP00000401570</t>
  </si>
  <si>
    <t>ENSP00000432842,ENSP00000433833,ENSP00000471293,ENSP00000469440,ENSP00000472562,ENSP00000469962,ENSP00000417147,ENSP00000437332,ENSP00000471355,ENSP00000470601,ENSP00000469918,ENSP00000470899,ENSP00000471391,ENSP00000436448,ENSP00000435127,ENSP00000351569,ENSP00000486146</t>
  </si>
  <si>
    <t>ENSP00000299518,ENSP00000452620,ENSP00000453084,ENSP00000453033,ENSP00000453480,ENSP00000453747,ENSP00000452754,ENSP00000453192,ENSP00000453903,ENSP00000453438,ENSP00000453222,ENSP00000453992,ENSP00000453338,ENSP00000453989,ENSP00000453008,ENSP00000453795,ENSP00000453459,ENSP00000485769</t>
  </si>
  <si>
    <t>ENST00000367435,ENST00000482484,ENST00000477868</t>
  </si>
  <si>
    <t>ENSP00000420472,ENSP00000420484,ENSP00000420193,ENSP00000362247,ENSP00000416829,ENSP00000418400,ENSP00000418098,ENSP00000419875,ENSP00000420601,ENSP00000419175,ENSP00000420414,ENSP00000418966,ENSP00000417333,ENSP00000487484</t>
  </si>
  <si>
    <t>ENSP00000419498,ENSP00000244576</t>
  </si>
  <si>
    <t>ENSP00000263268,ENSP00000411076,ENSP00000413302,ENSP00000404470,ENSP00000484331</t>
  </si>
  <si>
    <t>NM_001193515,NM_001193514,NM_001193513,NM_017964</t>
  </si>
  <si>
    <t>NP_001180444.1,NP_001180443.1,NP_001180442.1,NP_060434.2</t>
  </si>
  <si>
    <t>ENST00000440718,ENST00000379343,ENST00000454324,ENST00000449777,ENST00000282587,ENST00000406369,ENST00000457724,ENST00000357055,ENST00000435660</t>
  </si>
  <si>
    <t>ENSP00000393946,ENSP00000368648,ENSP00000415790,ENSP00000388013,ENSP00000282587,ENSP00000384041,ENSP00000396634,ENSP00000349563,ENSP00000399005</t>
  </si>
  <si>
    <t>ENSP00000348959,ENSP00000412706,ENSP00000396362,ENSP00000402416</t>
  </si>
  <si>
    <t>Homo sapiens dynein, axonemal, light chain 1 (DNAL1)</t>
  </si>
  <si>
    <t>NM_031427,NM_001201366</t>
  </si>
  <si>
    <t>NP_113615.2,NP_001188295.1</t>
  </si>
  <si>
    <t>ENST00000554113,ENST00000555631,ENST00000553645,ENST00000311089,ENST00000555919,ENST00000554339,ENST00000554871,ENST00000559993,ENST00000554159</t>
  </si>
  <si>
    <t>ENSP00000452368,ENSP00000451547,ENSP00000452037,ENSP00000310360,ENSP00000451101,ENSP00000450744,ENSP00000451834,ENSP00000453439,ENSP00000451264</t>
  </si>
  <si>
    <t>ENSP00000362774,ENSP00000474709,ENSP00000398081,ENSP00000411767,ENSP00000381663,ENSP00000335150,ENSP00000474148,ENSP00000349783</t>
  </si>
  <si>
    <t>NM_001206941,NM_001206938,NM_014719</t>
  </si>
  <si>
    <t>NP_001193870.1,NP_001193867.1,NP_055534.1</t>
  </si>
  <si>
    <t>ENST00000479870,ENST00000355951,ENST00000392900,ENST00000460532,ENST00000491908,ENST00000478172,ENST00000485416</t>
  </si>
  <si>
    <t>ENSP00000419235,ENSP00000348220,ENSP00000420607,ENSP00000417600,ENSP00000419622,ENSP00000418432</t>
  </si>
  <si>
    <t>ENSP00000415558,ENSP00000452769,ENSP00000399587,ENSP00000267569,ENSP00000409787</t>
  </si>
  <si>
    <t>ENSP00000417748,ENSP00000449475,ENSP00000448878</t>
  </si>
  <si>
    <t>Homo sapiens RAB11A, member RAS oncogene family (RAB11A)</t>
  </si>
  <si>
    <t>NM_001206836,NM_004663</t>
  </si>
  <si>
    <t>NP_001193765.1,NP_004654.1</t>
  </si>
  <si>
    <t>ENST00000569304,ENST00000563580,ENST00000568850,ENST00000564910,ENST00000261890,ENST00000566233,ENST00000565075,ENST00000569896,ENST00000567671</t>
  </si>
  <si>
    <t>ENSP00000455567,ENSP00000261890,ENSP00000454381,ENSP00000456638,ENSP00000456420,ENSP00000454673</t>
  </si>
  <si>
    <t>NM_001243952,NM_001243953,NM_004520,NM_001098511</t>
  </si>
  <si>
    <t>NP_001230881.1,NP_001230882.1,NP_004511.2,NP_001091981.1</t>
  </si>
  <si>
    <t>ENST00000401507,ENST00000509663,ENST00000381103,ENST00000514082,ENST00000407818,ENST00000504883,ENST00000512541,ENST00000506857,ENST00000512006,ENST00000509624</t>
  </si>
  <si>
    <t>ENSP00000385622,ENSP00000370493,ENSP00000423542,ENSP00000385000,ENSP00000425411,ENSP00000423772,ENSP00000421041</t>
  </si>
  <si>
    <t>ENSP00000346340,ENSP00000375865,ENSP00000387212,ENSP00000388655,ENSP00000413696</t>
  </si>
  <si>
    <t>ENSP00000437184,ENSP00000284259,ENSP00000431803,ENSP00000433365,ENSP00000403925,ENSP00000431156,ENSP00000432783,ENSP00000436419</t>
  </si>
  <si>
    <t>ENST00000316660,ENST00000269518,ENST00000590596</t>
  </si>
  <si>
    <t>ENSP00000326119,ENSP00000269518</t>
  </si>
  <si>
    <t>ENST00000409469,ENST00000602748,ENST00000325222,ENST00000617797</t>
  </si>
  <si>
    <t>ENSP00000387160,ENSP00000473318,ENSP00000326804,ENSP00000482123</t>
  </si>
  <si>
    <t>ENSP00000348786,ENSP00000396741,ENSP00000358723</t>
  </si>
  <si>
    <t>NM_024894,NM_001261394,NM_001261392,NR_048552</t>
  </si>
  <si>
    <t>NP_079170.2,NP_001248323.1,NP_001248321.1,-</t>
  </si>
  <si>
    <t>ENST00000345985,ENST00000381685,ENST00000431319,ENST00000473087,ENST00000538384</t>
  </si>
  <si>
    <t>ENSP00000263837,ENSP00000371101,ENSP00000403170,ENSP00000439663</t>
  </si>
  <si>
    <t>ENST00000496856,ENST00000491818,ENST00000481587,ENST00000326361,ENST00000466264,ENST00000484866,ENST00000494234,ENST00000483460,ENST00000466663,ENST00000621687</t>
  </si>
  <si>
    <t>ENSP00000417740,ENSP00000418870,ENSP00000418628,ENSP00000325634,ENSP00000419650,ENSP00000418766,ENSP00000417232,ENSP00000477626</t>
  </si>
  <si>
    <t>ENSP00000419977,ENSP00000232519,ENSP00000419937,ENSP00000418086,ENSP00000438275</t>
  </si>
  <si>
    <t>ENST00000294740,ENST00000367353,ENST00000367352</t>
  </si>
  <si>
    <t>ENSP00000294740,ENSP00000356322,ENSP00000356321</t>
  </si>
  <si>
    <t>Homo sapiens tyrosine 3-monooxygenase/tryptophan 5-monooxygenase activation protein, zeta (YWHAZ)</t>
  </si>
  <si>
    <t>NM_001135702,NM_001135701,NM_001135700,NM_001135699,NM_145690,NM_003406</t>
  </si>
  <si>
    <t>NP_001129174.1,NP_001129173.1,NP_001129172.1,NP_001129171.1,NP_663723.1,NP_003397.1</t>
  </si>
  <si>
    <t>ENST00000395957,ENST00000395956,ENST00000353245,ENST00000523848,ENST00000522542,ENST00000521309,ENST00000522819,ENST00000395953,ENST00000395948,ENST00000395951,ENST00000419477,ENST00000521607,ENST00000480304,ENST00000518736,ENST00000517727,ENST00000521328,ENST00000418997,ENST00000437293,ENST00000523131,ENST00000523938,ENST00000492736,ENST00000395958,ENST00000457309</t>
  </si>
  <si>
    <t>ENSP00000379287,ENSP00000379286,ENSP00000309503,ENSP00000428860,ENSP00000430072,ENSP00000429623,ENSP00000428775,ENSP00000379283,ENSP00000379278,ENSP00000379281,ENSP00000395114,ENSP00000430058,ENSP00000429041,ENSP00000416551,ENSP00000394880,ENSP00000428381,ENSP00000430219,ENSP00000379288,ENSP00000398599</t>
  </si>
  <si>
    <t>ENSP00000417601,ENSP00000411484,ENSP00000411273,ENSP00000416332,ENSP00000405084,ENSP00000426163,ENSP00000406737,ENSP00000408895,ENSP00000441228</t>
  </si>
  <si>
    <t>ENSP00000305661,ENSP00000417806,ENSP00000418000</t>
  </si>
  <si>
    <t>NM_053016,NM_001037293</t>
  </si>
  <si>
    <t>NP_443749.5,NP_001032370.1</t>
  </si>
  <si>
    <t>ENST00000374531,ENST00000483909,ENST00000314527,ENST00000497711,ENST00000465091</t>
  </si>
  <si>
    <t>ENSP00000363656,ENSP00000417525,ENSP00000323805,ENSP00000419747</t>
  </si>
  <si>
    <t>Homo sapiens family with sequence similarity 200, member A (FAM200A)</t>
  </si>
  <si>
    <t>ENST00000449309,ENST00000408938</t>
  </si>
  <si>
    <t>ENSP00000411372,ENSP00000386191</t>
  </si>
  <si>
    <t>ENSP00000418852,ENSP00000418980,ENSP00000419030,ENSP00000307525,ENSP00000417559,ENSP00000418908,ENSP00000419647,ENSP00000419004</t>
  </si>
  <si>
    <t>NM_003838,NM_001199329,NM_001199328</t>
  </si>
  <si>
    <t>NP_003829.3,NP_001186258.2,NP_001186257.2</t>
  </si>
  <si>
    <t>ENST00000370898,ENST00000467578,ENST00000524915,ENST00000370894,ENST00000482102,ENST00000529485,ENST00000534056,ENST00000472069</t>
  </si>
  <si>
    <t>ENSP00000359935,ENSP00000434934,ENSP00000359931,ENSP00000433044,ENSP00000431733,ENSP00000432819,ENSP00000433499</t>
  </si>
  <si>
    <t>ENSP00000339017,ENSP00000339016</t>
  </si>
  <si>
    <t>NM_001199263,NM_001199262</t>
  </si>
  <si>
    <t>NP_001186192.1,NP_001186191.1</t>
  </si>
  <si>
    <t>NM_001243014,NM_203444</t>
  </si>
  <si>
    <t>NP_001229943.1,NP_982269.2</t>
  </si>
  <si>
    <t>ENST00000344275,ENST00000442833,ENST00000280560,ENST00000540285,ENST00000392439,ENST00000542678,ENST00000546289,ENST00000426173,ENST00000537276,ENST00000542448,ENST00000538895,ENST00000541983,ENST00000545373,ENST00000540971,ENST00000536976,ENST00000546077,ENST00000541424,ENST00000543935,ENST00000622723,ENST00000442028,ENST00000346530</t>
  </si>
  <si>
    <t>ENSP00000456813,ENSP00000456375,ENSP00000280560,ENSP00000441734,ENSP00000376234,ENSP00000440288,ENSP00000442281,ENSP00000415967,ENSP00000439871,ENSP00000440244,ENSP00000444834,ENSP00000441086,ENSP00000443433,ENSP00000443224,ENSP00000440138,ENSP00000443382,ENSP00000394898,ENSP00000280559</t>
  </si>
  <si>
    <t>NM_001244962,NM_001244961,NM_001244959</t>
  </si>
  <si>
    <t>NP_001231891.1,NP_001231890.1,NP_001231888.1</t>
  </si>
  <si>
    <t>Homo sapiens La ribonucleoprotein domain family, member 4 (LARP4)</t>
  </si>
  <si>
    <t>NM_001170804,NR_033200</t>
  </si>
  <si>
    <t>NP_001164275.1,-</t>
  </si>
  <si>
    <t>ENST00000550522,ENST00000429001,ENST00000548174,ENST00000548697,ENST00000548993,ENST00000398473,ENST00000522085,ENST00000518444,ENST00000551886,ENST00000523389,ENST00000518561,ENST00000347328,ENST00000550260,ENST00000517559,ENST00000552445,ENST00000520064,ENST00000521120,ENST00000293618,ENST00000616828,ENST00000615080,ENST00000614335</t>
  </si>
  <si>
    <t>ENSP00000448180,ENSP00000415464,ENSP00000446540,ENSP00000449090,ENSP00000446966,ENSP00000381490,ENSP00000429781,ENSP00000429077,ENSP00000447408,ENSP00000430551,ENSP00000430851,ENSP00000340901,ENSP00000448756,ENSP00000428516,ENSP00000447397,ENSP00000429631,ENSP00000293618,ENSP00000477854,ENSP00000477974,ENSP00000482977</t>
  </si>
  <si>
    <t>NM_001142497,NM_152649</t>
  </si>
  <si>
    <t>NP_001135969.1,NP_689862.1</t>
  </si>
  <si>
    <t>Homo sapiens defensin, beta 131 (DEFB131)|Homo sapiens beta-defensin 131-like (LOC100129216)</t>
  </si>
  <si>
    <t>Homo sapiens golgin A6 family, member D (GOLGA6D)|Homo sapiens golgin A8 family, member T (GOLGA8T)|Homo sapiens golgin A6 family-like 10 (GOLGA6L10)|Homo sapiens golgin A8 family, member F (GOLGA8F)</t>
  </si>
  <si>
    <t>ENST00000434739,ENST00000618219|ENST00000633133,ENST00000632087,ENST00000611944</t>
  </si>
  <si>
    <t>ENSP00000391085,ENSP00000481067|ENSP00000487759,ENSP00000478445</t>
  </si>
  <si>
    <t>NM_001159542|NM_001173531,NM_203289,NM_002701</t>
  </si>
  <si>
    <t>NP_001153014.1|NP_001167002.1,NP_976034.4,NP_002692.2</t>
  </si>
  <si>
    <t>ENST00000465342|ENST00000437747,ENST00000429314,ENST00000483045,ENST00000495227,ENST00000548685</t>
  </si>
  <si>
    <t>ENSP00000419298|ENSP00000391681,ENSP00000387619,ENSP00000447156</t>
  </si>
  <si>
    <t>NM_001204510,NM_001416|NR_037926</t>
  </si>
  <si>
    <t>NP_001191439.1,NP_001407.1|-</t>
  </si>
  <si>
    <t>ENST00000580888,ENST00000584054,ENST00000580886,ENST00000580461,ENST00000584712,ENST00000578476,ENST00000582169,ENST00000578754,ENST00000578495,ENST00000396527,ENST00000293831,ENST00000579139,ENST00000579085,ENST00000582213,ENST00000583899,ENST00000582848,ENST00000585024,ENST00000583802,ENST00000584901,ENST00000581544,ENST00000577269,ENST00000584784,ENST00000582746,ENST00000584860,ENST00000581770,ENST00000577738,ENST00000581384,ENST00000577929,ENST00000578324,ENST00000584798,ENST00000577731,ENST00000583389,ENST00000578569,ENST00000583217,ENST00000581841,ENST00000582050,ENST00000581808</t>
  </si>
  <si>
    <t>ENSP00000462581,ENSP00000464320,ENSP00000464082,ENSP00000463309,ENSP00000463067,ENSP00000464550,ENSP00000293831,ENSP00000461921,ENSP00000462275,ENSP00000463634,ENSP00000463821,ENSP00000463486,ENSP00000463366,ENSP00000462753,ENSP00000462904,ENSP00000462741,ENSP00000464066,ENSP00000462372,ENSP00000462719,ENSP00000463380</t>
  </si>
  <si>
    <t>ENST00000329862|ENST00000533122|ENST00000530230,ENST00000617704</t>
  </si>
  <si>
    <t>ENSP00000332969|ENSP00000483764|ENSP00000431987,ENSP00000481815</t>
  </si>
  <si>
    <t>Homo sapiens aldo-keto reductase family 1, member C1 (AKR1C1)</t>
  </si>
  <si>
    <t>ENST00000477661,ENST00000380872,ENST00000442997,ENST00000380859,ENST00000476100,ENST00000434459</t>
  </si>
  <si>
    <t>ENSP00000370254,ENSP00000416415,ENSP00000370240,ENSP00000412248</t>
  </si>
  <si>
    <t>ENST00000380308,ENST00000307771,ENST00000468028|ENST00000505459,ENST00000282999,ENST00000515463,ENST00000515755,ENST00000445150,ENST00000506987,ENST00000504696,ENST00000621420</t>
  </si>
  <si>
    <t>ENSP00000369664,ENSP00000303015|ENSP00000424870,ENSP00000282999,ENSP00000425562,ENSP00000480521,ENSP00000482018</t>
  </si>
  <si>
    <t>ENST00000257627,ENST00000473987|ENST00000416608,ENST00000242104</t>
  </si>
  <si>
    <t>ENSP00000257627|ENSP00000401365,ENSP00000242104</t>
  </si>
  <si>
    <t>Homo sapiens SPANX family, member C (SPANXC)|Homo sapiens SPANX family, member A2 (SPANXA2)|Homo sapiens sperm protein associated with the nucleus, X-linked, family member A1 (SPANXA1)|Homo sapiens SPANX family, member B1 (SPANXB1)|Homo sapiens SPANX family, member D (SPANXD)</t>
  </si>
  <si>
    <t>ENST00000358993|ENST00000370518|ENST00000370519,ENST00000615379|ENST00000449283|ENST00000370515</t>
  </si>
  <si>
    <t>ENSP00000351884|ENSP00000359549|ENSP00000359550,ENSP00000484283|ENSP00000405202|ENSP00000359546</t>
  </si>
  <si>
    <t>Homo sapiens SPANX family, member D (SPANXD)|Homo sapiens SPANX family, member B1 (SPANXB1)|Homo sapiens SPANX family, member C (SPANXC)|Homo sapiens SPANX family, member A2 (SPANXA2)|Homo sapiens sperm protein associated with the nucleus, X-linked, family member A1 (SPANXA1)</t>
  </si>
  <si>
    <t>ENST00000370515|ENST00000449283|ENST00000358993|ENST00000370518|ENST00000370519,ENST00000615379</t>
  </si>
  <si>
    <t>ENSP00000359546|ENSP00000405202|ENSP00000351884|ENSP00000359549|ENSP00000359550,ENSP00000484283</t>
  </si>
  <si>
    <t>Homo sapiens SPANX family, member B1 (SPANXB1)|Homo sapiens SPANX family, member C (SPANXC)|Homo sapiens SPANX family, member D (SPANXD)|Homo sapiens SPANX family, member A2 (SPANXA2)|Homo sapiens sperm protein associated with the nucleus, X-linked, family member A1 (SPANXA1)</t>
  </si>
  <si>
    <t>ENST00000449283|ENST00000358993|ENST00000370515|ENST00000370518|ENST00000370519,ENST00000615379</t>
  </si>
  <si>
    <t>ENSP00000405202|ENSP00000351884|ENSP00000359546|ENSP00000359549|ENSP00000359550,ENSP00000484283</t>
  </si>
  <si>
    <t>Homo sapiens nuclear pore complex interacting protein family, member B3 (NPIPB3)|Homo sapiens nuclear pore complex interacting protein family, member B5 (NPIPB5)|Homo sapiens nuclear pore complex interacting protein pseudogene (LOC613037)</t>
  </si>
  <si>
    <t>Homo sapiens cation channel, sperm associated 2 pseudogene 1 (CATSPER2P1)</t>
  </si>
  <si>
    <t>ENST00000446479,ENST00000439564,ENST00000381680,ENST00000416302,ENST00000429276</t>
  </si>
  <si>
    <t>NM_201559,NM_001455|NR_026718</t>
  </si>
  <si>
    <t>NP_963853.1,NP_001446.1|-</t>
  </si>
  <si>
    <t>ENST00000343882,ENST00000406360,ENST00000540898</t>
  </si>
  <si>
    <t>ENSP00000339527,ENSP00000385824,ENSP00000446316</t>
  </si>
  <si>
    <t>Homo sapiens family with sequence similarity 72, member A (FAM72A)|Homo sapiens family with sequence similarity 72, member B (FAM72B)|Homo sapiens family with sequence similarity 72, member D (FAM72D)</t>
  </si>
  <si>
    <t>ENST00000607379|ENST00000369390,ENST00000355228,ENST00000619376,ENST00000471903,ENST00000452190,ENST00000468129,ENST00000616749|ENST00000400889</t>
  </si>
  <si>
    <t>ENSP00000475410|ENSP00000358397,ENSP00000347368,ENSP00000482799,ENSP00000484557,ENSP00000392882|ENSP00000383682</t>
  </si>
  <si>
    <t>Homo sapiens nuclear pore complex interacting protein family, member A1 (NPIPA1)|Homo sapiens polycystic kidney disease 1 (autosomal dominant)|PREDICTED: Homo sapiens nuclear pore complex interacting protein family, member B9 (NPIPB9)|Homo sapiens pyridoxal-dependent decarboxylase domain containing 2, pseudogene (PDXDC2P)</t>
  </si>
  <si>
    <t>ENST00000632661|ENST00000526428|ENST00000531894,ENST00000530079,ENST00000525331,ENST00000526478,ENST00000529089,ENST00000561788</t>
  </si>
  <si>
    <t>ENST00000515290,ENST00000510483,ENST00000370706,ENST00000357489,ENST00000370708,ENST00000370702,ENST00000444273,ENST00000370711,ENST00000508603,ENST00000491832,ENST00000370710,ENST00000502749,ENST00000504603,ENST00000509071,ENST00000510989,ENST00000509251,ENST00000508548,ENST00000504364</t>
  </si>
  <si>
    <t>ENSP00000424723,ENSP00000427558,ENSP00000359740,ENSP00000350083,ENSP00000359742,ENSP00000359736,ENSP00000476915,ENSP00000421786,ENSP00000421645,ENSP00000359744,ENSP00000424329,ENSP00000425047</t>
  </si>
  <si>
    <t>ENST00000338230,ENST00000599893,ENST00000594028,ENST00000597124,ENST00000598369,ENST00000360272</t>
  </si>
  <si>
    <t>ENSP00000344791,ENSP00000353410</t>
  </si>
  <si>
    <t>ENST00000624497,ENST00000610562</t>
  </si>
  <si>
    <t>Homo sapiens leucine rich repeat containing 37A (LRRC37A)|Homo sapiens leucine rich repeat containing 37, member A2 (LRRC37A2)|Homo sapiens ADP-ribosylation factor-like 17A (ARL17A)</t>
  </si>
  <si>
    <t>ENST00000496930,ENST00000393465,ENST00000320254|ENST00000626350,ENST00000628214,ENST00000611424|ENST00000622877</t>
  </si>
  <si>
    <t>ENSP00000437021,ENSP00000377108,ENSP00000326324|ENSP00000485882,ENSP00000487050,ENSP00000480274|ENSP00000479751</t>
  </si>
  <si>
    <t>NM_152682,NM_001307922</t>
  </si>
  <si>
    <t>NP_689895.2,NP_001294851.1</t>
  </si>
  <si>
    <t>ENST00000326397,ENST00000510968,ENST00000510702,ENST00000512740,ENST00000514322,ENST00000506467,ENST00000327570</t>
  </si>
  <si>
    <t>ENSP00000388920,ENSP00000426329,ENSP00000427164,ENSP00000423598,ENSP00000420945,ENSP00000422970,ENSP00000332177</t>
  </si>
  <si>
    <t>NR_073473,NR_073472,NM_002822,NM_001242397</t>
  </si>
  <si>
    <t>-,-,NP_002813.3,NP_001229326.1</t>
  </si>
  <si>
    <t>ENST00000552521,ENST00000395510,ENST00000547459,ENST00000548315,ENST00000551789,ENST00000546662,ENST00000550371,ENST00000548403,ENST00000546506,ENST00000547564,ENST00000547961</t>
  </si>
  <si>
    <t>ENSP00000448750,ENSP00000378886,ENSP00000446665,ENSP00000449428,ENSP00000448221,ENSP00000448682,ENSP00000446696,ENSP00000448230</t>
  </si>
  <si>
    <t>NM_003932,NM_001278589</t>
  </si>
  <si>
    <t>NP_003923.2,NP_001265518.1</t>
  </si>
  <si>
    <t>ENST00000216218,ENST00000480048,ENST00000455824,ENST00000413424,ENST00000411695,ENST00000495652,ENST00000615506,ENST00000620312</t>
  </si>
  <si>
    <t>ENSP00000216218,ENSP00000397062,ENSP00000412049,ENSP00000392067,ENSP00000484210,ENSP00000481328</t>
  </si>
  <si>
    <t>NM_032194,NM_001289111</t>
  </si>
  <si>
    <t>NP_115570.1,NP_001276040.1</t>
  </si>
  <si>
    <t>ENST00000368864,ENST00000441448,ENST00000607388,ENST00000425871</t>
  </si>
  <si>
    <t>ENSP00000357857,ENSP00000402338,ENSP00000476081,ENSP00000414026</t>
  </si>
  <si>
    <t>NM_004505,NM_001304284|NM_032582|NR_003190</t>
  </si>
  <si>
    <t>NP_004496.2,NP_001291213.1|NP_115971.2|-</t>
  </si>
  <si>
    <t>ENST00000574788,ENST00000575709,ENST00000572949,ENST00000250066,ENST00000572429,ENST00000357482|ENST00000300896,ENST00000592339,ENST00000593071,ENST00000586238,ENST00000585720,ENST00000590133,ENST00000591768,ENST00000587651,ENST00000589552,ENST00000589335,ENST00000393003,ENST00000588898,ENST00000589761,ENST00000586881,ENST00000590297</t>
  </si>
  <si>
    <t>ENSP00000460380,ENSP00000461817,ENSP00000461581,ENSP00000250066|ENSP00000300896,ENSP00000467885,ENSP00000466740,ENSP00000465844,ENSP00000464762,ENSP00000465922,ENSP00000465659,ENSP00000376727,ENSP00000467098,ENSP00000467435</t>
  </si>
  <si>
    <t>PREDICTED: Homo sapiens leucine rich repeat containing 37A (LRRC37A)|PREDICTED: Homo sapiens leucine rich repeat containing 37, member A2 (LRRC37A2)|Homo sapiens ADP-ribosylation factor-like 17A (ARL17A)</t>
  </si>
  <si>
    <t>XM_011546365,XM_011525540,XM_011525539,XM_006725282,XM_006725279,XM_006722211,XM_006722210,XM_006722208,XM_005275662,XM_005275660,XM_005257887,XM_005257882,XM_005257880,XM_005257879,NM_014834|XM_011547487,XM_011547486,XM_011547485,XM_011547483,XM_011547482,XM_011547480,XM_011547479,XM_011547478,XM_011547477,XM_011547476,XM_011546357,XM_011546356,XM_011546355,XM_011546354,XM_011524848,XM_011524847,XM_011524846,XM_011524844,XM_011524843,XM_011524842,XM_011524841,NM_001006607|NM_001113738</t>
  </si>
  <si>
    <t>XP_011544667.1,XP_011523842.1,XP_011523841.1,XP_006725345.1,XP_006725342.1,XP_006722274.1,XP_006722273.1,XP_006722271.1,XP_005275719.1,XP_005275717.1,XP_005257944.1,XP_005257939.1,XP_005257937.1,XP_005257936.1,NP_055649.4|XP_011545789.1,XP_011545788.1,XP_011545787.1,XP_011545785.1,XP_011545784.1,XP_011545782.1,XP_011545781.1,XP_011545780.1,XP_011545779.1,XP_011545778.1,XP_011544659.1,XP_011544658.1,XP_011544657.1,XP_011544656.1,XP_011523150.1,XP_011523149.1,XP_011523148.1,XP_011523146.1,XP_011523145.1,XP_011523144.1,XP_011523143.1,NP_001006608.2|NP_001107210.1</t>
  </si>
  <si>
    <t>ENSP00000470782|ENSP00000470328,ENSP00000470296,ENSP00000469912,ENSP00000471385,ENSP00000469704,ENSP00000471045,ENSP00000472089,ENSP00000470748,ENSP00000410545,ENSP00000469641,ENSP00000480123</t>
  </si>
  <si>
    <t>ENSP00000426494|ENSP00000347380,ENSP00000358635,ENSP00000397782,ENSP00000484577</t>
  </si>
  <si>
    <t>Homo sapiens wingless-type MMTV integration site family, member 11 (WNT11)</t>
  </si>
  <si>
    <t>ENST00000322563,ENST00000529461,ENST00000532150,ENST00000621122</t>
  </si>
  <si>
    <t>ENSP00000325526,ENSP00000436140,ENSP00000483229</t>
  </si>
  <si>
    <t>NM_201574,NM_005070,NR_048551</t>
  </si>
  <si>
    <t>NP_963868.2,NP_005061.2,-</t>
  </si>
  <si>
    <t>ENST00000358055,ENST00000373760,ENST00000273063,ENST00000425141,ENST00000317151,ENST00000497589,ENST00000413743,ENST00000416910,ENST00000444906</t>
  </si>
  <si>
    <t>ENSP00000350756,ENSP00000362865,ENSP00000273063,ENSP00000396863,ENSP00000314006,ENSP00000414722,ENSP00000403160,ENSP00000398628</t>
  </si>
  <si>
    <t>ENST00000538155,ENST00000261191,ENST00000538016,ENST00000542392,ENST00000536232,ENST00000538727,ENST00000544548,ENST00000538748,ENST00000537336</t>
  </si>
  <si>
    <t>ENSP00000445645,ENSP00000261191,ENSP00000448985,ENSP00000448467,ENSP00000446183,ENSP00000443066</t>
  </si>
  <si>
    <t>NM_001134420,NM_001134419,NM_003503</t>
  </si>
  <si>
    <t>NP_001127892.1,NP_001127891.1,NP_003494.1</t>
  </si>
  <si>
    <t>ENST00000234626,ENST00000426137,ENST00000497611,ENST00000486509,ENST00000428239</t>
  </si>
  <si>
    <t>ENSP00000234626,ENSP00000398077,ENSP00000393139</t>
  </si>
  <si>
    <t>ENST00000580242,ENST00000400256,ENST00000582147</t>
  </si>
  <si>
    <t>ENST00000373696,ENST00000373695,ENST00000471950</t>
  </si>
  <si>
    <t>ENSP00000362800,ENSP00000362799</t>
  </si>
  <si>
    <t>Homo sapiens glia maturation factor, beta (GMFB)</t>
  </si>
  <si>
    <t>ENST00000554908,ENST00000358056,ENST00000554163,ENST00000554247,ENST00000553333,ENST00000553566,ENST00000554682,ENST00000553952,ENST00000628554,ENST00000616146</t>
  </si>
  <si>
    <t>ENSP00000452410,ENSP00000350757,ENSP00000451473,ENSP00000451920,ENSP00000487065,ENSP00000479543</t>
  </si>
  <si>
    <t>ENST00000485752,ENST00000424632,ENST00000295317,ENST00000490553,ENST00000463726,ENST00000478404</t>
  </si>
  <si>
    <t>ENSP00000399090,ENSP00000295317</t>
  </si>
  <si>
    <t>ENST00000264220,ENST00000425339,ENST00000507648,ENST00000510643,ENST00000507724</t>
  </si>
  <si>
    <t>ENSP00000264220,ENSP00000423781,ENSP00000425119</t>
  </si>
  <si>
    <t>Homo sapiens scavenger receptor cysteine rich family, 4 domains (SSC4D)</t>
  </si>
  <si>
    <t>ENST00000492979,ENST00000275560</t>
  </si>
  <si>
    <t>NM_001005739,NM_016516</t>
  </si>
  <si>
    <t>NP_001005739.1,NP_057600.2</t>
  </si>
  <si>
    <t>ENST00000409558,ENST00000354504,ENST00000272322,ENST00000416400</t>
  </si>
  <si>
    <t>ENSP00000386980,ENSP00000346499,ENSP00000272322,ENSP00000414725</t>
  </si>
  <si>
    <t>ENST00000507810,ENST00000261486,ENST00000509342,ENST00000515047,ENST00000513333,ENST00000511790,ENST00000511405,ENST00000512395,ENST00000305368,ENST00000514203,ENST00000621003</t>
  </si>
  <si>
    <t>ENSP00000261486,ENSP00000482810</t>
  </si>
  <si>
    <t>ENST00000266718,ENST00000548071,ENST00000546642</t>
  </si>
  <si>
    <t>NM_001037174,NM_177985,NM_012097</t>
  </si>
  <si>
    <t>NP_001032251.1,NP_817114.2,NP_036229.1</t>
  </si>
  <si>
    <t>ENST00000495604,ENST00000446896,ENST00000487818,ENST00000295087,ENST00000458140,ENST00000428992,ENST00000487723</t>
  </si>
  <si>
    <t>ENSP00000394626,ENSP00000295087,ENSP00000393716,ENSP00000415950</t>
  </si>
  <si>
    <t>ENST00000538758,ENST00000544257,ENST00000541044,ENST00000539923,ENST00000537189,ENST00000535829,ENST00000299673,ENST00000538135,ENST00000542232,ENST00000504495,ENST00000510357,ENST00000357529,ENST00000619374</t>
  </si>
  <si>
    <t>ENSP00000438004,ENSP00000444445,ENSP00000439079,ENSP00000444721,ENSP00000445863,ENSP00000440943,ENSP00000350136,ENSP00000483871</t>
  </si>
  <si>
    <t>Homo sapiens succinate dehydrogenase complex, subunit B, iron sulfur (Ip)</t>
  </si>
  <si>
    <t>ENST00000375499,ENST00000485092,ENST00000475049,ENST00000485515,ENST00000491274,ENST00000475506,ENST00000463045,ENST00000466613</t>
  </si>
  <si>
    <t>ENSP00000364649,ENSP00000480482,ENSP00000481376</t>
  </si>
  <si>
    <t>Homo sapiens ATP synthase, H+ transporting, mitochondrial Fo complex, subunit C3 (subunit 9)</t>
  </si>
  <si>
    <t>NM_001190329,NM_001689,NM_001002258</t>
  </si>
  <si>
    <t>NP_001177258.1,NP_001680.1,NP_001002258.1</t>
  </si>
  <si>
    <t>ENST00000284727,ENST00000409194,ENST00000392541,ENST00000497075,ENST00000472782</t>
  </si>
  <si>
    <t>ENSP00000284727,ENSP00000387317,ENSP00000376324</t>
  </si>
  <si>
    <t>ENST00000566780,ENST00000569332,ENST00000402655,ENST00000406884,ENST00000539474,ENST00000562214,ENST00000566662,ENST00000569818,ENST00000355860,ENST00000408984,ENST00000565562,ENST00000561846,ENST00000563358,ENST00000562639,ENST00000565791,ENST00000566103,ENST00000627394,ENST00000620008</t>
  </si>
  <si>
    <t>ENSP00000457230,ENSP00000454788,ENSP00000384238,ENSP00000384495,ENSP00000445210,ENSP00000454331,ENSP00000454485,ENSP00000348119,ENSP00000386161,ENSP00000485925,ENSP00000482648</t>
  </si>
  <si>
    <t>ENST00000305579,ENST00000480088,ENST00000468862,ENST00000496308,ENST00000480787,ENST00000466512</t>
  </si>
  <si>
    <t>ENSP00000303231,ENSP00000420184,ENSP00000419046</t>
  </si>
  <si>
    <t>ENST00000291568,ENST00000480147</t>
  </si>
  <si>
    <t>NM_001109891,NM_001040056,NM_002746</t>
  </si>
  <si>
    <t>NP_001103361.1,NP_001035145.1,NP_002737.2</t>
  </si>
  <si>
    <t>ENST00000263025,ENST00000466521,ENST00000484663,ENST00000490298,ENST00000485579,ENST00000461737,ENST00000494643,ENST00000473431,ENST00000395200,ENST00000395202,ENST00000478356,ENST00000395199,ENST00000483869,ENST00000481230,ENST00000322266</t>
  </si>
  <si>
    <t>ENSP00000263025,ENSP00000433746,ENSP00000432742,ENSP00000432479,ENSP00000436772,ENSP00000378626,ENSP00000378628,ENSP00000432292,ENSP00000378625,ENSP00000433639,ENSP00000327293</t>
  </si>
  <si>
    <t>Homo sapiens crystallin, mu (CRYM)</t>
  </si>
  <si>
    <t>ENST00000574448,ENST00000570401,ENST00000219599,ENST00000572113,ENST00000576703,ENST00000571666,ENST00000572914,ENST00000571358,ENST00000574787,ENST00000543948</t>
  </si>
  <si>
    <t>ENSP00000459982,ENSP00000460820,ENSP00000219599,ENSP00000460126,ENSP00000461904,ENSP00000460510,ENSP00000440227</t>
  </si>
  <si>
    <t>ENST00000255416,ENST00000621380</t>
  </si>
  <si>
    <t>ENSP00000255416,ENSP00000483045</t>
  </si>
  <si>
    <t>NM_003018,NM_001172357,NM_001172410</t>
  </si>
  <si>
    <t>NP_003009.2,NP_001165828.1,NP_001165881.1</t>
  </si>
  <si>
    <t>ENST00000522880,ENST00000524350,ENST00000524318,ENST00000318561,ENST00000521315,ENST00000437090,ENST00000520605,ENST00000522109,ENST00000524255,ENST00000523296,ENST00000518615,ENST00000522630</t>
  </si>
  <si>
    <t>ENSP00000316152,ENSP00000430410,ENSP00000407931,ENSP00000430266,ENSP00000429496,ENSP00000429552,ENSP00000429619</t>
  </si>
  <si>
    <t>Homo sapiens major histocompatibility complex, class II, DM beta (HLA-DMB)</t>
  </si>
  <si>
    <t>ENST00000465965,ENST00000497661,ENST00000413696,ENST00000433242,ENST00000482267,ENST00000456428,ENST00000450897,ENST00000448590</t>
  </si>
  <si>
    <t>ENSP00000405790,ENSP00000401238,ENSP00000416157,ENSP00000408453,ENSP00000389736</t>
  </si>
  <si>
    <t>ENST00000302190,ENST00000520233,ENST00000519587,ENST00000518385,ENST00000522911,ENST00000519914,ENST00000521590,ENST00000523877</t>
  </si>
  <si>
    <t>ENSP00000307046,ENSP00000429045,ENSP00000427784,ENSP00000428256,ENSP00000429121,ENSP00000429662</t>
  </si>
  <si>
    <t>ENST00000560961,ENST00000373615,ENST00000446480,ENST00000488674</t>
  </si>
  <si>
    <t>ENSP00000453448,ENSP00000362717,ENSP00000394978,ENSP00000476200</t>
  </si>
  <si>
    <t>ENST00000370192,ENST00000474241,ENST00000306031,ENST00000460019</t>
  </si>
  <si>
    <t>ENSP00000359211,ENSP00000307107</t>
  </si>
  <si>
    <t>Homo sapiens replication protein A3, 14kDa (RPA3)</t>
  </si>
  <si>
    <t>ENST00000223129,ENST00000406109,ENST00000396682,ENST00000401447,ENST00000483031,ENST00000462723,ENST00000463632</t>
  </si>
  <si>
    <t>ENSP00000223129,ENSP00000384652,ENSP00000379914,ENSP00000385383</t>
  </si>
  <si>
    <t>Homo sapiens zinc finger, HIT-type containing 3 (ZNHIT3)</t>
  </si>
  <si>
    <t>ENST00000631862,ENST00000620508,ENST00000633296,ENST00000633894,ENST00000632245,ENST00000619649,ENST00000633937,ENST00000632476,ENST00000613198,ENST00000633110,ENST00000633117,ENST00000634200</t>
  </si>
  <si>
    <t>ENSP00000487918,ENSP00000481504,ENSP00000488252,ENSP00000478183,ENSP00000488910,ENSP00000482153,ENSP00000488528,ENSP00000487661</t>
  </si>
  <si>
    <t>ENST00000279441,ENST00000539681</t>
  </si>
  <si>
    <t>ENSP00000279441,ENSP00000441485</t>
  </si>
  <si>
    <t>NM_001144757,NM_003020</t>
  </si>
  <si>
    <t>NP_001138229.1,NP_003011.1</t>
  </si>
  <si>
    <t>ENST00000632219,ENST00000632674,ENST00000632955,ENST00000633420,ENST00000633221,ENST00000631581,ENST00000633996,ENST00000633591,ENST00000632972</t>
  </si>
  <si>
    <t>ENSP00000488109,ENSP00000488509,ENSP00000488899,ENSP00000488565,ENSP00000487899</t>
  </si>
  <si>
    <t>ENST00000380913,ENST00000493668,ENST00000452575,ENST00000418909</t>
  </si>
  <si>
    <t>ENSP00000370299,ENSP00000406724,ENSP00000415229</t>
  </si>
  <si>
    <t>NM_001200019,NM_182647,NM_000913</t>
  </si>
  <si>
    <t>NP_001186948.1,NP_872588.1,NP_000904.1</t>
  </si>
  <si>
    <t>ENST00000615600,ENST00000627060,ENST00000625570</t>
  </si>
  <si>
    <t>ENSP00000478920,ENSP00000485794,ENSP00000487083</t>
  </si>
  <si>
    <t>ENST00000501463,ENST00000282572</t>
  </si>
  <si>
    <t>ENSP00000422485,ENSP00000282572</t>
  </si>
  <si>
    <t>NM_001033504,NM_015544</t>
  </si>
  <si>
    <t>NP_001028676.1,NP_056359.2</t>
  </si>
  <si>
    <t>ENST00000394642,ENST00000579849,ENST00000395149,ENST00000261713,ENST00000582227,ENST00000578289,ENST00000439138,ENST00000583437,ENST00000583120</t>
  </si>
  <si>
    <t>ENSP00000378138,ENSP00000463245,ENSP00000398446,ENSP00000261713,ENSP00000464537,ENSP00000406394,ENSP00000463539</t>
  </si>
  <si>
    <t>Homo sapiens LSM10, U7 small nuclear RNA associated (LSM10)</t>
  </si>
  <si>
    <t>ENST00000476041,ENST00000315732,ENST00000489912</t>
  </si>
  <si>
    <t>ENST00000392290,ENST00000435773,ENST00000469156,ENST00000295079</t>
  </si>
  <si>
    <t>ENSP00000376111,ENSP00000396846,ENSP00000295079</t>
  </si>
  <si>
    <t>ENST00000342206,ENST00000356413</t>
  </si>
  <si>
    <t>ENSP00000363661,ENSP00000348784</t>
  </si>
  <si>
    <t>NM_001204197,NM_015678</t>
  </si>
  <si>
    <t>NP_001191126.1,NP_056493.3</t>
  </si>
  <si>
    <t>ENST00000379939,ENST00000497540,ENST00000379922,ENST00000461581,ENST00000537702,ENST00000400445,ENST00000310336,ENST00000629018</t>
  </si>
  <si>
    <t>ENSP00000369271,ENSP00000369254,ENSP00000440233,ENSP00000383295,ENSP00000308534,ENSP00000486239</t>
  </si>
  <si>
    <t>ENST00000227520,ENST00000535217,ENST00000545580</t>
  </si>
  <si>
    <t>ENSP00000227520,ENSP00000442111,ENSP00000440906</t>
  </si>
  <si>
    <t>ENST00000552283,ENST00000546385,ENST00000547269,ENST00000551744,ENST00000551200,ENST00000543021,ENST00000548994,ENST00000550459,ENST00000251074</t>
  </si>
  <si>
    <t>ENSP00000448054,ENSP00000447284,ENSP00000448086,ENSP00000449982,ENSP00000251074</t>
  </si>
  <si>
    <t>NM_001261824,NM_203433,NM_003720,NR_049728</t>
  </si>
  <si>
    <t>NP_001248753.1,NP_982257.1,NP_003711.1,-</t>
  </si>
  <si>
    <t>ENST00000331573,ENST00000481921,ENST00000411828,ENST00000431628,ENST00000380900</t>
  </si>
  <si>
    <t>ENSP00000329915,ENSP00000410810,ENSP00000398569,ENSP00000370286</t>
  </si>
  <si>
    <t>ENST00000367274,ENST00000487227,ENST00000460852</t>
  </si>
  <si>
    <t>NM_001243791,NM_001243790,NM_001243789,NR_045039</t>
  </si>
  <si>
    <t>NP_001230720.1,NP_001230719.1,NP_001230718.1,-</t>
  </si>
  <si>
    <t>ENST00000509864,ENST00000513838,ENST00000508394,ENST00000511854,ENST00000506595,ENST00000514685,ENST00000505128,ENST00000337581,ENST00000243112,ENST00000505662,ENST00000401977,ENST00000514196,ENST00000511522,ENST00000504338,ENST00000509078,ENST00000507904,ENST00000503447,ENST00000504797,ENST00000506169,ENST00000503306,ENST00000505597,ENST00000503231</t>
  </si>
  <si>
    <t>ENSP00000426440,ENSP00000423629,ENSP00000424191,ENSP00000421206,ENSP00000421139,ENSP00000421894,ENSP00000338606,ENSP00000243112,ENSP00000384828,ENSP00000425974,ENSP00000423083,ENSP00000423457,ENSP00000421790,ENSP00000427547,ENSP00000425426</t>
  </si>
  <si>
    <t>ENST00000007516,ENST00000562133,ENST00000484769,ENST00000570319,ENST00000567761</t>
  </si>
  <si>
    <t>ENSP00000007516,ENSP00000454891,ENSP00000454812,ENSP00000458770,ENSP00000461693</t>
  </si>
  <si>
    <t>ENST00000262809,ENST00000594635,ENST00000610152,ENST00000596124,ENST00000608165,ENST00000596915</t>
  </si>
  <si>
    <t>ENSP00000262809,ENSP00000475681,ENSP00000475648</t>
  </si>
  <si>
    <t>Homo sapiens platelet-activating factor acetylhydrolase 1b, catalytic subunit 3 (29kDa)</t>
  </si>
  <si>
    <t>NM_001145940,NM_001145939,NM_002573</t>
  </si>
  <si>
    <t>NP_001139412.1,NP_001139411.1,NP_002564.1</t>
  </si>
  <si>
    <t>ENST00000262890,ENST00000594989,ENST00000595530,ENST00000596265,ENST00000597333,ENST00000601865,ENST00000599778,ENST00000538771</t>
  </si>
  <si>
    <t>ENSP00000262890,ENSP00000471933,ENSP00000473065,ENSP00000470753,ENSP00000472950,ENSP00000469352,ENSP00000444935</t>
  </si>
  <si>
    <t>ENST00000537513,ENST00000392554,ENST00000463376,ENST00000392553,ENST00000536364,ENST00000327471</t>
  </si>
  <si>
    <t>ENSP00000446223,ENSP00000376337,ENSP00000418150,ENSP00000443091,ENSP00000329361</t>
  </si>
  <si>
    <t>Homo sapiens histone cluster 1, H1c (HIST1H1C)</t>
  </si>
  <si>
    <t>ENST00000301327,ENST00000528047,ENST00000526749,ENST00000534427</t>
  </si>
  <si>
    <t>ENST00000507088,ENST00000508200,ENST00000225969,ENST00000503633,ENST00000442592,ENST00000511860,ENST00000514928</t>
  </si>
  <si>
    <t>ENSP00000421865,ENSP00000424321,ENSP00000225969,ENSP00000425126,ENSP00000388915,ENSP00000426037</t>
  </si>
  <si>
    <t>Homo sapiens mannose receptor, C type 2 (MRC2)</t>
  </si>
  <si>
    <t>ENST00000303375,ENST00000584265,ENST00000584682,ENST00000583597,ENST00000579432,ENST00000446119,ENST00000580916</t>
  </si>
  <si>
    <t>ENSP00000307513,ENSP00000461968,ENSP00000463968,ENSP00000400445</t>
  </si>
  <si>
    <t>ENST00000373461,ENST00000373459,ENST00000448944</t>
  </si>
  <si>
    <t>ENSP00000362560,ENSP00000362558,ENSP00000406537</t>
  </si>
  <si>
    <t>Homo sapiens kalirin, RhoGEF kinase (KALRN)</t>
  </si>
  <si>
    <t>ENST00000448253,ENST00000477496,ENST00000488825,ENST00000460856,ENST00000240874,ENST00000483658,ENST00000354186,ENST00000498499,ENST00000439170,ENST00000522553,ENST00000484224,ENST00000393501,ENST00000494648,ENST00000473056,ENST00000393496,ENST00000471431,ENST00000291478,ENST00000454902,ENST00000459915,ENST00000484542,ENST00000462213,ENST00000360013</t>
  </si>
  <si>
    <t>ENSP00000395236,ENSP00000418611,ENSP00000240874,ENSP00000487487,ENSP00000346122,ENSP00000402950,ENSP00000291478,ENSP00000400064,ENSP00000353109</t>
  </si>
  <si>
    <t>ENST00000373425,ENST00000373417,ENST00000491991,ENST00000470194</t>
  </si>
  <si>
    <t>ENSP00000362524,ENSP00000362516</t>
  </si>
  <si>
    <t>ENST00000293404,ENST00000589767,ENST00000592915</t>
  </si>
  <si>
    <t>ENSP00000293404,ENSP00000465408</t>
  </si>
  <si>
    <t>ENST00000354588,ENST00000431002,ENST00000532208,ENST00000415855,ENST00000527679,ENST00000524759,ENST00000526490,ENST00000528115,ENST00000528862,ENST00000377954</t>
  </si>
  <si>
    <t>ENSP00000346600,ENSP00000416856,ENSP00000436848,ENSP00000410979,ENSP00000434489,ENSP00000437582</t>
  </si>
  <si>
    <t>ENST00000371756,ENST00000489050,ENST00000465873,ENST00000471163,ENST00000478485,ENST00000486258</t>
  </si>
  <si>
    <t>NR_024195,NR_024194,NM_001135732,NM_001135730,NM_001135729,NM_005488</t>
  </si>
  <si>
    <t>-,-,NP_001129204.1,NP_001129202.1,NP_001129201.1,NP_005479.1</t>
  </si>
  <si>
    <t>ENST00000608749,ENST00000608674,ENST00000456128,ENST00000449058,ENST00000404284,ENST00000465529,ENST00000487670,ENST00000439512,ENST00000424387,ENST00000395736,ENST00000449508,ENST00000443206,ENST00000497448,ENST00000491987,ENST00000492723,ENST00000411850,ENST00000447733,ENST00000425375,ENST00000382034</t>
  </si>
  <si>
    <t>ENSP00000476698,ENSP00000477471,ENSP00000393714,ENSP00000394466,ENSP00000385906,ENSP00000394944,ENSP00000397492,ENSP00000379085,ENSP00000390429,ENSP00000389789,ENSP00000413697,ENSP00000398876,ENSP00000394924,ENSP00000371465</t>
  </si>
  <si>
    <t>NM_001261451,NM_001261450,NM_031432,NM_001135954</t>
  </si>
  <si>
    <t>NP_001248380.1,NP_001248379.1,NP_113620.1,NP_001129426.1</t>
  </si>
  <si>
    <t>ENST00000372210,ENST00000372211,ENST00000491309,ENST00000372208,ENST00000372215,ENST00000484876,ENST00000494584,ENST00000459858,ENST00000482398</t>
  </si>
  <si>
    <t>ENSP00000361284,ENSP00000361285,ENSP00000432363,ENSP00000361282,ENSP00000361289</t>
  </si>
  <si>
    <t>NM_001193343,NM_018135</t>
  </si>
  <si>
    <t>NP_001180272.1,NP_060605.1</t>
  </si>
  <si>
    <t>ENST00000372133,ENST00000372116,ENST00000427312</t>
  </si>
  <si>
    <t>ENSP00000361206,ENSP00000361188,ENSP00000398679</t>
  </si>
  <si>
    <t>ENST00000358514,ENST00000570985,ENST00000574576,ENST00000570304,ENST00000575556</t>
  </si>
  <si>
    <t>ENSP00000351314,ENSP00000463811</t>
  </si>
  <si>
    <t>ENST00000447630,ENST00000474941,ENST00000011691</t>
  </si>
  <si>
    <t>ENSP00000401115,ENSP00000011691</t>
  </si>
  <si>
    <t>Homo sapiens family with sequence similarity 96, member B (FAM96B)</t>
  </si>
  <si>
    <t>NM_016062,NR_046109,NR_024525</t>
  </si>
  <si>
    <t>NP_057146.1,-,-</t>
  </si>
  <si>
    <t>ENST00000422424,ENST00000568572,ENST00000562362,ENST00000567511,ENST00000563490,ENST00000569299</t>
  </si>
  <si>
    <t>ENSP00000387471,ENSP00000462376,ENSP00000463700,ENSP00000455028</t>
  </si>
  <si>
    <t>NM_001195218,NM_016286</t>
  </si>
  <si>
    <t>NP_001182147.1,NP_057370.1</t>
  </si>
  <si>
    <t>ENST00000577532,ENST00000306869,ENST00000579004,ENST00000579334,ENST00000580320,ENST00000577286,ENST00000579842,ENST00000580750,ENST00000578885,ENST00000582074,ENST00000581584,ENST00000578273,ENST00000582900,ENST00000579821,ENST00000585085,ENST00000577996,ENST00000577712,ENST00000579155,ENST00000582613,ENST00000584318,ENST00000585164</t>
  </si>
  <si>
    <t>ENSP00000463354,ENSP00000303356,ENSP00000464332,ENSP00000464507,ENSP00000462272,ENSP00000464518,ENSP00000462725,ENSP00000462226</t>
  </si>
  <si>
    <t>NM_014302,NM_001012456</t>
  </si>
  <si>
    <t>NP_055117.1,NP_001012474.1</t>
  </si>
  <si>
    <t>ENST00000395535,ENST00000415949,ENST00000450622,ENST00000460484,ENST00000480303,ENST00000461536,ENST00000352861</t>
  </si>
  <si>
    <t>ENSP00000378906,ENSP00000388337,ENSP00000409884,ENSP00000341538</t>
  </si>
  <si>
    <t>ENST00000288937,ENST00000532676,ENST00000529958,ENST00000532203</t>
  </si>
  <si>
    <t>ENSP00000288937,ENSP00000435294</t>
  </si>
  <si>
    <t>ENST00000461845,ENST00000441634,ENST00000306368,ENST00000414390,ENST00000443647,ENST00000456023</t>
  </si>
  <si>
    <t>ENSP00000412025,ENSP00000306906,ENSP00000397109,ENSP00000391326,ENSP00000415246</t>
  </si>
  <si>
    <t>ENST00000474874,ENST00000377482,ENST00000467067,ENST00000469499,ENST00000487559</t>
  </si>
  <si>
    <t>ENSP00000466958,ENSP00000366702,ENSP00000465100,ENSP00000466454,ENSP00000467030</t>
  </si>
  <si>
    <t>ENST00000598057,ENST00000600292,ENST00000601891,ENST00000222008,ENST00000601028,ENST00000595226,ENST00000601078,ENST00000596171,ENST00000601476,ENST00000599219</t>
  </si>
  <si>
    <t>ENSP00000471877,ENSP00000473152,ENSP00000222008,ENSP00000469161,ENSP00000469392</t>
  </si>
  <si>
    <t>ENST00000310325,ENST00000527141,ENST00000525733,ENST00000524994,ENST00000530565,ENST00000529199,ENST00000529561,ENST00000533168,ENST00000526010</t>
  </si>
  <si>
    <t>ENSP00000310832,ENSP00000434936,ENSP00000433082,ENSP00000435822</t>
  </si>
  <si>
    <t>ENST00000305354,ENST00000465758,ENST00000463068</t>
  </si>
  <si>
    <t>ENSP00000305852,ENSP00000419367</t>
  </si>
  <si>
    <t>Homo sapiens zinc finger, CCCH-type with G patch domain (ZGPAT)</t>
  </si>
  <si>
    <t>NM_001195654,NM_001195653,NM_032527,NM_181485,NM_001083113</t>
  </si>
  <si>
    <t>NP_001182583.1,NP_001182582.1,NP_115916.3,NP_852150.2,NP_001076582.1</t>
  </si>
  <si>
    <t>ENST00000448100,ENST00000355969,ENST00000477340,ENST00000357119,ENST00000431125,ENST00000369967,ENST00000328969,ENST00000472711,ENST00000478385,ENST00000468235,ENST00000484569</t>
  </si>
  <si>
    <t>ENSP00000391176,ENSP00000348242,ENSP00000349634,ENSP00000403966,ENSP00000358984,ENSP00000332013</t>
  </si>
  <si>
    <t>NM_138723,NM_138722,NM_030766</t>
  </si>
  <si>
    <t>NP_620049.1,NP_620048.1,NP_110393.1</t>
  </si>
  <si>
    <t>ENST00000627413,ENST00000627553,ENST00000628217,ENST00000630375,ENST00000630161,ENST00000629515,ENST00000625808,ENST00000626295,ENST00000627713,ENST00000631317,ENST00000628783,ENST00000631251,ENST00000627464,ENST00000628315</t>
  </si>
  <si>
    <t>ENSP00000486050,ENSP00000486791,ENSP00000487566,ENSP00000486862,ENSP00000486796,ENSP00000487330,ENSP00000486560,ENSP00000486273,ENSP00000485980</t>
  </si>
  <si>
    <t>NM_198426,NM_014453</t>
  </si>
  <si>
    <t>NP_940818.1,NP_055268.1</t>
  </si>
  <si>
    <t>ENST00000600006,ENST00000600118,ENST00000601220,ENST00000312547,ENST00000596708,ENST00000597209,ENST00000600804,ENST00000597848</t>
  </si>
  <si>
    <t>ENSP00000472097,ENSP00000469240,ENSP00000472680,ENSP00000310440,ENSP00000471961,ENSP00000469453</t>
  </si>
  <si>
    <t>NM_001204698,NM_014604|NR_037928</t>
  </si>
  <si>
    <t>NP_001191627.1,NP_055419.1|-</t>
  </si>
  <si>
    <t>ENST00000225525,ENST00000611779</t>
  </si>
  <si>
    <t>ENSP00000225525,ENSP00000484776</t>
  </si>
  <si>
    <t>ENST00000616449,ENST00000549175,ENST00000548058,ENST00000261206,ENST00000548387,ENST00000548324,ENST00000551745,ENST00000546664</t>
  </si>
  <si>
    <t>ENSP00000447748,ENSP00000449535,ENSP00000261206,ENSP00000449507</t>
  </si>
  <si>
    <t>ENST00000369153,ENST00000369152,ENST00000476344,ENST00000369150</t>
  </si>
  <si>
    <t>ENSP00000358149,ENSP00000358148,ENSP00000358146</t>
  </si>
  <si>
    <t>ENST00000328848,ENST00000557912</t>
  </si>
  <si>
    <t>ENSP00000332198,ENSP00000453475</t>
  </si>
  <si>
    <t>ENST00000379666,ENST00000296102,ENST00000448427,ENST00000472192,ENST00000483992,ENST00000476552</t>
  </si>
  <si>
    <t>ENSP00000368988,ENSP00000296102,ENSP00000407385</t>
  </si>
  <si>
    <t>NM_016951,NM_181640,NM_181641,NM_016326</t>
  </si>
  <si>
    <t>NP_058647.1,NP_857591.1,NP_857592.1,NP_057410.1</t>
  </si>
  <si>
    <t>ENST00000534692,ENST00000264001,ENST00000351137,ENST00000345436,ENST00000362093,ENST00000526149,ENST00000417030,ENST00000563092</t>
  </si>
  <si>
    <t>ENSP00000431270,ENSP00000264001,ENSP00000264003,ENSP00000290771,ENSP00000355417,ENSP00000416678</t>
  </si>
  <si>
    <t>NM_024075,NM_001077446</t>
  </si>
  <si>
    <t>NP_076980.2,NP_001070914.1</t>
  </si>
  <si>
    <t>ENST00000455798,ENST00000456872,ENST00000302937,ENST00000496583,ENST00000396383,ENST00000396388,ENST00000429671</t>
  </si>
  <si>
    <t>ENSP00000400743,ENSP00000408689,ENSP00000305524,ENSP00000379667,ENSP00000379671,ENSP00000397402</t>
  </si>
  <si>
    <t>NM_024572,NM_001253827,NM_001253826,NR_045602</t>
  </si>
  <si>
    <t>NP_078848.2,NP_001240756.1,NP_001240755.1,-</t>
  </si>
  <si>
    <t>ENST00000324589,ENST00000349752,ENST00000406653,ENST00000475320,ENST00000486564,ENST00000430167,ENST00000455477,ENST00000464038,ENST00000481023,ENST00000424136,ENST00000496397,ENST00000461193,ENST00000490212,ENST00000498206,ENST00000485468</t>
  </si>
  <si>
    <t>ENSP00000314500,ENSP00000288988,ENSP00000385435,ENSP00000406399,ENSP00000399886,ENSP00000398723</t>
  </si>
  <si>
    <t>ENST00000276689,ENST00000518008,ENST00000522532,ENST00000517367,ENST00000518657,ENST00000524241,ENST00000517830</t>
  </si>
  <si>
    <t>ENSP00000276689,ENSP00000428282,ENSP00000431115,ENSP00000430322</t>
  </si>
  <si>
    <t>Homo sapiens nucleoside-triphosphatase, cancer-related (NTPCR)</t>
  </si>
  <si>
    <t>ENST00000494689,ENST00000490807,ENST00000366628,ENST00000496662,ENST00000366627,ENST00000479125,ENST00000487953,ENST00000490098</t>
  </si>
  <si>
    <t>ENSP00000355587,ENSP00000355586</t>
  </si>
  <si>
    <t>NM_001171581,NM_004867</t>
  </si>
  <si>
    <t>NP_001165052.1,NP_004858.1</t>
  </si>
  <si>
    <t>ENST00000373298,ENST00000469541,ENST00000482194,ENST00000462038,ENST00000461357,ENST00000434584</t>
  </si>
  <si>
    <t>ENSP00000362395,ENSP00000415533</t>
  </si>
  <si>
    <t>ENST00000616661,ENST00000464917,ENST00000430996,ENST00000482265</t>
  </si>
  <si>
    <t>ENSP00000480439,ENSP00000478218,ENSP00000387903</t>
  </si>
  <si>
    <t>ENST00000302118,ENST00000490692</t>
  </si>
  <si>
    <t>ENST00000538761,ENST00000240079,ENST00000544341,ENST00000545679,ENST00000540536,ENST00000535501,ENST00000536197,ENST00000542923,ENST00000539515,ENST00000541569,ENST00000500685,ENST00000326351,ENST00000536930</t>
  </si>
  <si>
    <t>ENSP00000438122,ENSP00000240079,ENSP00000440134,ENSP00000443857,ENSP00000441810,ENSP00000440139,ENSP00000443922,ENSP00000445501</t>
  </si>
  <si>
    <t>NM_001199958,NM_001199957,NM_002492</t>
  </si>
  <si>
    <t>NP_001186887.1,NP_001186886.1,NP_002483.1</t>
  </si>
  <si>
    <t>ENST00000488002,ENST00000259037,ENST00000493866,ENST00000472629,ENST00000468210,ENST00000359944,ENST00000477177,ENST00000482604,ENST00000480374,ENST00000496904,ENST00000473500,ENST00000491054,ENST00000471112,ENST00000476587,ENST00000493716,ENST00000611971</t>
  </si>
  <si>
    <t>ENSP00000259037,ENSP00000419656,ENSP00000419248,ENSP00000420538,ENSP00000353026,ENSP00000418354,ENSP00000419099,ENSP00000419501,ENSP00000481703</t>
  </si>
  <si>
    <t>Homo sapiens interferon, alpha-inducible protein 27-like 1 (IFI27L1)</t>
  </si>
  <si>
    <t>NM_206949,NM_145249</t>
  </si>
  <si>
    <t>NP_996832.1,NP_660292.1</t>
  </si>
  <si>
    <t>ENST00000555523,ENST00000553350,ENST00000557600,ENST00000393115,ENST00000555065,ENST00000554166,ENST00000556381,ENST00000553664,ENST00000555341,ENST00000557218,ENST00000554544,ENST00000557066,ENST00000554562</t>
  </si>
  <si>
    <t>ENSP00000451851,ENSP00000376824,ENSP00000452226,ENSP00000451459,ENSP00000451043,ENSP00000451608,ENSP00000450463,ENSP00000451676,ENSP00000451889,ENSP00000450620</t>
  </si>
  <si>
    <t>ENST00000593729,ENST00000601101,ENST00000595856,ENST00000602059,ENST00000301457,ENST00000601258</t>
  </si>
  <si>
    <t>ENSP00000470962,ENSP00000471333,ENSP00000471943,ENSP00000301457</t>
  </si>
  <si>
    <t>NM_001167880,NM_022126</t>
  </si>
  <si>
    <t>NP_001161352.1,NP_071409.3</t>
  </si>
  <si>
    <t>ENST00000392757,ENST00000368842,ENST00000368839,ENST00000487190,ENST00000481452,ENST00000493240,ENST00000482963,ENST00000486535,ENST00000492187</t>
  </si>
  <si>
    <t>ENSP00000376512,ENSP00000357835,ENSP00000357832</t>
  </si>
  <si>
    <t>ENST00000561886,ENST00000452264,ENST00000444870</t>
  </si>
  <si>
    <t>ENSP00000456559,ENSP00000457674,ENSP00000457386</t>
  </si>
  <si>
    <t>ENST00000298694,ENST00000555038,ENST00000556399,ENST00000553709,ENST00000555232,ENST00000555052,ENST00000554514,ENST00000557498</t>
  </si>
  <si>
    <t>ENSP00000298694,ENSP00000451335,ENSP00000451655,ENSP00000452283</t>
  </si>
  <si>
    <t>ENST00000276211,ENST00000370922,ENST00000423277,ENST00000412432,ENST00000370921</t>
  </si>
  <si>
    <t>ENSP00000276211,ENSP00000359960,ENSP00000409218,ENSP00000408515,ENSP00000359959</t>
  </si>
  <si>
    <t>ENST00000283206,ENST00000452614,ENST00000452029,ENST00000463427,ENST00000471632</t>
  </si>
  <si>
    <t>ENSP00000283206,ENSP00000393998,ENSP00000400100</t>
  </si>
  <si>
    <t>Homo sapiens potassium channel, voltage gated Shaw related subfamily C, member 1 (KCNC1)</t>
  </si>
  <si>
    <t>ENST00000265969,ENST00000379472,ENST00000525802,ENST00000526029</t>
  </si>
  <si>
    <t>ENSP00000265969,ENSP00000368785</t>
  </si>
  <si>
    <t>Homo sapiens family with sequence similarity 213, member B (FAM213B)</t>
  </si>
  <si>
    <t>NM_152371,NM_001195741,NM_001195740,NM_001195738,NM_001195737,NM_001195736,NR_036637,NR_036638</t>
  </si>
  <si>
    <t>NP_689584.2,NP_001182670.1,NP_001182669.1,NP_001182667.1,NP_001182666.1,NP_001182665.1,-,-</t>
  </si>
  <si>
    <t>ENST00000493183,ENST00000474659,ENST00000419916,ENST00000378424,ENST00000537325,ENST00000378427,ENST00000464043,ENST00000465233,ENST00000498083,ENST00000481683,ENST00000484099,ENST00000477045,ENST00000476686,ENST00000444521,ENST00000378425</t>
  </si>
  <si>
    <t>ENSP00000394405,ENSP00000367681,ENSP00000443605,ENSP00000367684,ENSP00000462185,ENSP00000463127,ENSP00000413218,ENSP00000367682</t>
  </si>
  <si>
    <t>ENST00000512158,ENST00000337225</t>
  </si>
  <si>
    <t>ENSP00000423783,ENSP00000337065</t>
  </si>
  <si>
    <t>ENST00000298894,ENST00000556883</t>
  </si>
  <si>
    <t>ENSP00000298894,ENSP00000451594</t>
  </si>
  <si>
    <t>Homo sapiens ribonuclease H2, subunit A (RNASEH2A)</t>
  </si>
  <si>
    <t>ENST00000221486,ENST00000593017,ENST00000590121,ENST00000590279</t>
  </si>
  <si>
    <t>ENST00000352645,ENST00000486331</t>
  </si>
  <si>
    <t>ENST00000615291,ENST00000630982,ENST00000626423,ENST00000625442,ENST00000628707,ENST00000629615,ENST00000629208,ENST00000628406,ENST00000627774,ENST00000628687,ENST00000625859,ENST00000629645</t>
  </si>
  <si>
    <t>ENSP00000478189,ENSP00000486414,ENSP00000486638,ENSP00000486272,ENSP00000487332,ENSP00000487314,ENSP00000486126</t>
  </si>
  <si>
    <t>NM_145870,NM_001513,NM_145871</t>
  </si>
  <si>
    <t>NP_665877.1,NP_001504.2,NP_665878.2</t>
  </si>
  <si>
    <t>ENST00000216465,ENST00000361389,ENST00000553838,ENST00000554279,ENST00000557639,ENST00000349555,ENST00000553770,ENST00000553431,ENST00000556627,ENST00000557053,ENST00000553268,ENST00000554846,ENST00000556914,ENST00000555093,ENST00000553586,ENST00000555583,ENST00000554381,ENST00000555208,ENST00000393734</t>
  </si>
  <si>
    <t>ENSP00000216465,ENSP00000354959,ENSP00000452498,ENSP00000451927,ENSP00000314404,ENSP00000450487,ENSP00000451150,ENSP00000452531,ENSP00000451976,ENSP00000452346,ENSP00000451850,ENSP00000377335</t>
  </si>
  <si>
    <t>ENST00000381813,ENST00000477304</t>
  </si>
  <si>
    <t>ENST00000513755,ENST00000421004</t>
  </si>
  <si>
    <t>ENST00000355396,ENST00000374270,ENST00000374264,ENST00000475283,ENST00000529933,ENST00000415074,ENST00000528773,ENST00000532348,ENST00000482851,ENST00000374263</t>
  </si>
  <si>
    <t>ENSP00000347558,ENSP00000363388,ENSP00000363382,ENSP00000431590,ENSP00000404269,ENSP00000363381</t>
  </si>
  <si>
    <t>NM_001030018,NM_000485</t>
  </si>
  <si>
    <t>NP_001025189.1,NP_000476.1</t>
  </si>
  <si>
    <t>ENST00000378364,ENST00000567713,ENST00000567057,ENST00000426324,ENST00000567391,ENST00000568319,ENST00000563655,ENST00000569616,ENST00000568575,ENST00000562464,ENST00000564858</t>
  </si>
  <si>
    <t>ENSP00000367615,ENSP00000455749,ENSP00000397007,ENSP00000457964,ENSP00000456905,ENSP00000456012,ENSP00000455692</t>
  </si>
  <si>
    <t>ENST00000466522,ENST00000247194,ENST00000463432,ENST00000478430,ENST00000532049,ENST00000543619,ENST00000487285,ENST00000481608,ENST00000527981</t>
  </si>
  <si>
    <t>ENSP00000247194,ENSP00000431608,ENSP00000423874</t>
  </si>
  <si>
    <t>NM_001014764,NM_031298</t>
  </si>
  <si>
    <t>NP_001014764.1,NP_112588.1</t>
  </si>
  <si>
    <t>ENST00000248378,ENST00000397133</t>
  </si>
  <si>
    <t>ENSP00000248378,ENSP00000380322</t>
  </si>
  <si>
    <t>NM_001048200,NM_005734</t>
  </si>
  <si>
    <t>NP_001041665.1,NP_005725.3</t>
  </si>
  <si>
    <t>ENST00000525975,ENST00000303296,ENST00000379016,ENST00000531504,ENST00000534262,ENST00000456517</t>
  </si>
  <si>
    <t>ENSP00000431710,ENSP00000304226,ENSP00000368301,ENSP00000433594,ENSP00000398241</t>
  </si>
  <si>
    <t>ENST00000469079,ENST00000459833,ENST00000300255,ENST00000435323,ENST00000437338,ENST00000457807,ENST00000401402,ENST00000382699,ENST00000481638,ENST00000412833,ENST00000464037,ENST00000496615,ENST00000485488</t>
  </si>
  <si>
    <t>ENSP00000300255,ENSP00000407190,ENSP00000389291,ENSP00000401547,ENSP00000384594,ENSP00000372146,ENSP00000389269</t>
  </si>
  <si>
    <t>NM_005602,NM_001185056</t>
  </si>
  <si>
    <t>NP_005593.2,NP_001171985.1</t>
  </si>
  <si>
    <t>ENST00000064724,ENST00000486975,ENST00000486429,ENST00000489485,ENST00000468358,ENST00000471373,ENST00000477531,ENST00000488989,ENST00000480067</t>
  </si>
  <si>
    <t>ENSP00000064724,ENSP00000417434</t>
  </si>
  <si>
    <t>NM_012437,NR_052020,NR_052019</t>
  </si>
  <si>
    <t>NP_036569.1,-,-</t>
  </si>
  <si>
    <t>ENST00000368685,ENST00000474959,ENST00000462880,ENST00000478558</t>
  </si>
  <si>
    <t>ENST00000505059,ENST00000505818,ENST00000508987,ENST00000382647,ENST00000510999</t>
  </si>
  <si>
    <t>ENSP00000423152,ENSP00000427152,ENSP00000423399,ENSP00000372093,ENSP00000424366</t>
  </si>
  <si>
    <t>NM_001128928,NM_002194</t>
  </si>
  <si>
    <t>NP_001122400.1,NP_002185.1</t>
  </si>
  <si>
    <t>ENST00000322522,ENST00000430311,ENST00000413239,ENST00000431594,ENST00000444194,ENST00000422454,ENST00000417336,ENST00000458647,ENST00000423767,ENST00000451089,ENST00000409027,ENST00000458193,ENST00000487628,ENST00000470892,ENST00000392329</t>
  </si>
  <si>
    <t>ENSP00000325423,ENSP00000415014,ENSP00000391415,ENSP00000409786,ENSP00000404732,ENSP00000392814,ENSP00000395424,ENSP00000410662,ENSP00000387079,ENSP00000412119,ENSP00000376142</t>
  </si>
  <si>
    <t>ENST00000344423,ENST00000520535,ENST00000523202,ENST00000523095,ENST00000517372,ENST00000521912,ENST00000520290,ENST00000521185,ENST00000522795,ENST00000517459,ENST00000519730</t>
  </si>
  <si>
    <t>ENSP00000340494,ENSP00000427719,ENSP00000429640,ENSP00000428452,ENSP00000427934,ENSP00000430203,ENSP00000427812,ENSP00000429823,ENSP00000429649</t>
  </si>
  <si>
    <t>Homo sapiens potassium channel, inwardly rectifying subfamily J, member 4 (KCNJ4)</t>
  </si>
  <si>
    <t>NM_152868,NM_004981</t>
  </si>
  <si>
    <t>NP_690607.1,NP_004972.1</t>
  </si>
  <si>
    <t>Homo sapiens spectrin, beta, non-erythrocytic 4 (SPTBN4)</t>
  </si>
  <si>
    <t>ENST00000595535,ENST00000352632,ENST00000598249,ENST00000598775,ENST00000597389,ENST00000392023,ENST00000596900,ENST00000593932,ENST00000599926,ENST00000593816,ENST00000596411,ENST00000595690,ENST00000392025,ENST00000338932</t>
  </si>
  <si>
    <t>ENSP00000470693,ENSP00000263373,ENSP00000469242,ENSP00000472136,ENSP00000375877,ENSP00000375879,ENSP00000340345</t>
  </si>
  <si>
    <t>ENST00000470165,ENST00000370151,ENST00000370147,ENST00000434727,ENST00000475443,ENST00000626968</t>
  </si>
  <si>
    <t>ENSP00000359170,ENSP00000359166,ENSP00000403505,ENSP00000486078</t>
  </si>
  <si>
    <t>ENST00000222726,ENST00000520854</t>
  </si>
  <si>
    <t>NM_001741,NM_001033952</t>
  </si>
  <si>
    <t>NP_001732.1,NP_001029124.1</t>
  </si>
  <si>
    <t>ENST00000486207,ENST00000494746,ENST00000469608,ENST00000331587,ENST00000396372,ENST00000361010</t>
  </si>
  <si>
    <t>ENSP00000417833,ENSP00000420618,ENSP00000331746,ENSP00000379657,ENSP00000354286</t>
  </si>
  <si>
    <t>NM_144998,NM_001271007,NM_001271006</t>
  </si>
  <si>
    <t>NP_659435.2,NP_001257936.1,NP_001257935.1</t>
  </si>
  <si>
    <t>ENST00000579520,ENST00000584600,ENST00000580435,ENST00000306704,ENST00000392359,ENST00000584514,ENST00000584347,ENST00000577379,ENST00000580090,ENST00000583767,ENST00000585091</t>
  </si>
  <si>
    <t>ENSP00000464024,ENSP00000463974,ENSP00000462015,ENSP00000302951,ENSP00000376168,ENSP00000464357</t>
  </si>
  <si>
    <t>NM_152390,NM_001167959</t>
  </si>
  <si>
    <t>NP_689603.2,NP_001161431.1</t>
  </si>
  <si>
    <t>ENST00000437068,ENST00000482239,ENST00000281961,ENST00000413011,ENST00000495402,ENST00000618232</t>
  </si>
  <si>
    <t>ENSP00000281961,ENSP00000477622</t>
  </si>
  <si>
    <t>NM_001014990,NM_014180</t>
  </si>
  <si>
    <t>NP_001014990.1,NP_054899.2</t>
  </si>
  <si>
    <t>ENST00000523037,ENST00000265229,ENST00000439747,ENST00000522038,ENST00000519059,ENST00000520040,ENST00000518364,ENST00000614620</t>
  </si>
  <si>
    <t>ENSP00000431040,ENSP00000265229,ENSP00000411177,ENSP00000429039,ENSP00000430648,ENSP00000481879</t>
  </si>
  <si>
    <t>Homo sapiens leucine zipper, down-regulated in cancer 1 (LDOC1)</t>
  </si>
  <si>
    <t>ENST00000370526,ENST00000460721</t>
  </si>
  <si>
    <t>ENST00000216629,ENST00000553356,ENST00000557122,ENST00000611804</t>
  </si>
  <si>
    <t>ENSP00000216629,ENSP00000452064,ENSP00000479276</t>
  </si>
  <si>
    <t>ENST00000484894,ENST00000442738,ENST00000460648,ENST00000407936,ENST00000488684,ENST00000492213,ENST00000483713,ENST00000443002,ENST00000606538,ENST00000405557,ENST00000470701,ENST00000333418,ENST00000427034,ENST00000608713</t>
  </si>
  <si>
    <t>ENSP00000403852,ENSP00000475257,ENSP00000385725,ENSP00000475342,ENSP00000475343,ENSP00000476132,ENSP00000406826,ENSP00000476187,ENSP00000384112,ENSP00000475707,ENSP00000332130,ENSP00000389307</t>
  </si>
  <si>
    <t>NM_198446,NM_001142726</t>
  </si>
  <si>
    <t>NP_940848.2,NP_001136198.1</t>
  </si>
  <si>
    <t>ENST00000373043,ENST00000419397,ENST00000468084,ENST00000373042</t>
  </si>
  <si>
    <t>ENSP00000362134,ENSP00000434520,ENSP00000362133</t>
  </si>
  <si>
    <t>ENST00000589591,ENST00000221859,ENST00000585842,ENST00000592962,ENST00000586789,ENST00000586439,ENST00000589069</t>
  </si>
  <si>
    <t>ENSP00000221859,ENSP00000465455,ENSP00000465755,ENSP00000467134</t>
  </si>
  <si>
    <t>Homo sapiens armadillo repeat containing, X-linked 2 (ARMCX2)</t>
  </si>
  <si>
    <t>NM_014782,NM_177949</t>
  </si>
  <si>
    <t>NP_055597.1,NP_808818.1</t>
  </si>
  <si>
    <t>ENST00000330154,ENST00000328766,ENST00000356824,ENST00000413506,ENST00000433318,ENST00000440675,ENST00000458024,ENST00000467416,ENST00000431597,ENST00000479333,ENST00000496581,ENST00000488982,ENST00000475854</t>
  </si>
  <si>
    <t>ENSP00000328631,ENSP00000331662,ENSP00000349281,ENSP00000412481,ENSP00000410151,ENSP00000393778,ENSP00000415490,ENSP00000405376</t>
  </si>
  <si>
    <t>Homo sapiens fucosyltransferase 9 (alpha (1,3)</t>
  </si>
  <si>
    <t>ENST00000483933,ENST00000302103</t>
  </si>
  <si>
    <t>ENST00000203556,ENST00000587238,ENST00000586269,ENST00000587713,ENST00000593186,ENST00000588171,ENST00000591047,ENST00000587205</t>
  </si>
  <si>
    <t>ENSP00000203556,ENSP00000467054,ENSP00000465108,ENSP00000468662,ENSP00000466045,ENSP00000467946</t>
  </si>
  <si>
    <t>NM_001252195,NM_147169,NM_147168,NM_032596</t>
  </si>
  <si>
    <t>NP_001239124.1,NP_671698.1,NP_671697.1,NP_115985.2</t>
  </si>
  <si>
    <t>ENST00000481295,ENST00000379124,ENST00000379126,ENST00000379127,ENST00000379133,ENST00000297623,ENST00000444429</t>
  </si>
  <si>
    <t>ENSP00000368419,ENSP00000368421,ENSP00000368422,ENSP00000368428,ENSP00000297623,ENSP00000389687</t>
  </si>
  <si>
    <t>NM_001206802,NM_147184,NM_004881</t>
  </si>
  <si>
    <t>NP_001193731.1,NP_671713.1,NP_004872.2</t>
  </si>
  <si>
    <t>ENST00000335934,ENST00000238721,ENST00000407482,ENST00000417886,ENST00000413037,ENST00000470636</t>
  </si>
  <si>
    <t>ENSP00000337834,ENSP00000238721,ENSP00000384414,ENSP00000389620</t>
  </si>
  <si>
    <t>ENST00000247182,ENST00000554986,ENST00000555955,ENST00000553535,ENST00000555627</t>
  </si>
  <si>
    <t>ENSP00000247182,ENSP00000452700</t>
  </si>
  <si>
    <t>ENST00000328741,ENST00000513748,ENST00000570453</t>
  </si>
  <si>
    <t>ENSP00000329295,ENSP00000421168</t>
  </si>
  <si>
    <t>ENST00000402395,ENST00000490967,ENST00000400299,ENST00000465536,ENST00000491958,ENST00000495533,ENST00000460642,ENST00000469262,ENST00000465447,ENST00000611680</t>
  </si>
  <si>
    <t>ENSP00000384564,ENSP00000383155,ENSP00000480176</t>
  </si>
  <si>
    <t>Homo sapiens RAB33A, member RAS oncogene family (RAB33A)</t>
  </si>
  <si>
    <t>NM_170783,NM_014596</t>
  </si>
  <si>
    <t>NP_740753.1,NP_055411.1</t>
  </si>
  <si>
    <t>ENST00000484199,ENST00000400662,ENST00000383613,ENST00000400660,ENST00000400659,ENST00000476699</t>
  </si>
  <si>
    <t>ENSP00000383503,ENSP00000373108,ENSP00000383501,ENSP00000383500</t>
  </si>
  <si>
    <t>ENST00000282908,ENST00000512018,ENST00000512636,ENST00000510398,ENST00000513705,ENST00000505508,ENST00000511959,ENST00000508728</t>
  </si>
  <si>
    <t>ENSP00000282908,ENSP00000422820,ENSP00000423209,ENSP00000420984</t>
  </si>
  <si>
    <t>Homo sapiens ADAM metallopeptidase with thrombospondin type 1 motif, 5 (ADAMTS5)</t>
  </si>
  <si>
    <t>NM_001193338,NM_001142473,NM_005449</t>
  </si>
  <si>
    <t>NP_001180267.1,NP_001135945.1,NP_005440.1</t>
  </si>
  <si>
    <t>ENST00000367091,ENST00000474041,ENST00000442471,ENST00000528654,ENST00000463473,ENST00000628511,ENST00000525793,ENST00000529560,ENST00000533312,ENST00000530505</t>
  </si>
  <si>
    <t>ENSP00000356058,ENSP00000404136,ENSP00000436799,ENSP00000485739,ENSP00000432936,ENSP00000437331,ENSP00000436316</t>
  </si>
  <si>
    <t>ENST00000583169,ENST00000582281,ENST00000327305,ENST00000579730,ENST00000397929,ENST00000579169,ENST00000577184</t>
  </si>
  <si>
    <t>ENSP00000464312,ENSP00000462993,ENSP00000313088,ENSP00000381024,ENSP00000464188</t>
  </si>
  <si>
    <t>ENST00000367393,ENST00000436652,ENST00000542800</t>
  </si>
  <si>
    <t>ENSP00000356363,ENSP00000396800</t>
  </si>
  <si>
    <t>NM_001035505,NM_212552</t>
  </si>
  <si>
    <t>NP_001030582.1,NP_997717.2</t>
  </si>
  <si>
    <t>ENST00000327428,ENST00000477685,ENST00000484655,ENST00000295326,ENST00000469676</t>
  </si>
  <si>
    <t>ENSP00000331369,ENSP00000295326</t>
  </si>
  <si>
    <t>ENST00000372136,ENST00000356311,ENST00000350499</t>
  </si>
  <si>
    <t>ENSP00000361209,ENSP00000348659,ENSP00000298546</t>
  </si>
  <si>
    <t>NM_001242821,NM_017702,NM_001242822</t>
  </si>
  <si>
    <t>NP_001229750.1,NP_060172.1,NP_001229751.1</t>
  </si>
  <si>
    <t>ENST00000563594,ENST00000567999,ENST00000566079,ENST00000561784,ENST00000566820,ENST00000562578,ENST00000561741,ENST00000268676,ENST00000562986,ENST00000569453,ENST00000568096,ENST00000567243,ENST00000567884,ENST00000569803,ENST00000569061,ENST00000418391,ENST00000561959,ENST00000567874,ENST00000570182,ENST00000563795,ENST00000564836,ENST00000568760,ENST00000562044,ENST00000563848,ENST00000563805,ENST00000562163,ENST00000564379,ENST00000610455,ENST00000617948</t>
  </si>
  <si>
    <t>ENSP00000458019,ENSP00000457072,ENSP00000456954,ENSP00000455654,ENSP00000455783,ENSP00000454534,ENSP00000457309,ENSP00000268676,ENSP00000455987,ENSP00000456501,ENSP00000456157,ENSP00000454478,ENSP00000412784,ENSP00000456706,ENSP00000456095,ENSP00000456799,ENSP00000457627,ENSP00000454930,ENSP00000480073,ENSP00000482524</t>
  </si>
  <si>
    <t>NM_181441,NM_181465,NM_181464,NM_181462,NM_181456,NM_181455,NM_181454,NM_181463</t>
  </si>
  <si>
    <t>NP_852106.1,NP_852130.1,NP_852129.1,NP_852127.2,NP_852121.1,NP_852120.1,NP_852119.1,NP_852128.1</t>
  </si>
  <si>
    <t>ENST00000465268,ENST00000459783,ENST00000366732,ENST00000366733,ENST00000366734,ENST00000366735,ENST00000366736,ENST00000366738,ENST00000366741,ENST00000366740,ENST00000366739,ENST00000366742,ENST00000366744,ENST00000348259,ENST00000366747,ENST00000366746,ENST00000366731,ENST00000295008,ENST00000336520,ENST00000336300,ENST00000457264,ENST00000411464,ENST00000497758,ENST00000464148,ENST00000475832,ENST00000473066,ENST00000492170,ENST00000476267,ENST00000495434,ENST00000483159,ENST00000495899,ENST00000489430,ENST00000391867,ENST00000430433</t>
  </si>
  <si>
    <t>ENSP00000482290,ENSP00000355693,ENSP00000355694,ENSP00000355695,ENSP00000355696,ENSP00000355697,ENSP00000355699,ENSP00000355702,ENSP00000355701,ENSP00000355700,ENSP00000355703,ENSP00000355705,ENSP00000338189,ENSP00000355708,ENSP00000355707,ENSP00000355692,ENSP00000295008,ENSP00000337342,ENSP00000337361,ENSP00000409966,ENSP00000401737,ENSP00000484813,ENSP00000479463,ENSP00000479251,ENSP00000375740,ENSP00000403614</t>
  </si>
  <si>
    <t>ENST00000294244,ENST00000540893,ENST00000535820</t>
  </si>
  <si>
    <t>ENSP00000294244,ENSP00000445256,ENSP00000443715</t>
  </si>
  <si>
    <t>Homo sapiens 5', 3'-nucleotidase, cytosolic (NT5C)</t>
  </si>
  <si>
    <t>NM_001252377,NM_014595,NR_045513</t>
  </si>
  <si>
    <t>NP_001239306.1,NP_055410.1,-</t>
  </si>
  <si>
    <t>ENST00000582160,ENST00000580758,ENST00000583655,ENST00000245552,ENST00000578407,ENST00000582744,ENST00000580423,ENST00000577523,ENST00000584352,ENST00000582170,ENST00000579023,ENST00000578337,ENST00000578095,ENST00000579082</t>
  </si>
  <si>
    <t>ENSP00000462712,ENSP00000462123,ENSP00000245552,ENSP00000462697,ENSP00000462455,ENSP00000463947,ENSP00000461927,ENSP00000462981</t>
  </si>
  <si>
    <t>Homo sapiens cytochrome b-245, alpha polypeptide (CYBA)</t>
  </si>
  <si>
    <t>ENST00000261623,ENST00000565588,ENST00000566534,ENST00000566229,ENST00000567174,ENST00000569359,ENST00000563526,ENST00000568278,ENST00000562209,ENST00000561972</t>
  </si>
  <si>
    <t>ENSP00000261623,ENSP00000455537,ENSP00000457060,ENSP00000454951,ENSP00000456079,ENSP00000455506</t>
  </si>
  <si>
    <t>Homo sapiens HAUS augmin-like complex, subunit 8 (HAUS8)</t>
  </si>
  <si>
    <t>NM_001011699,NM_033417</t>
  </si>
  <si>
    <t>NP_001011699.1,NP_219485.1</t>
  </si>
  <si>
    <t>ENST00000253669,ENST00000597917,ENST00000448593,ENST00000593360,ENST00000598517,ENST00000597479,ENST00000601564,ENST00000595958</t>
  </si>
  <si>
    <t>ENSP00000253669,ENSP00000395298,ENSP00000470829,ENSP00000471868,ENSP00000473111</t>
  </si>
  <si>
    <t>NM_001195797,NM_015364</t>
  </si>
  <si>
    <t>NP_001182726.1,NP_056179.3</t>
  </si>
  <si>
    <t>ENST00000284818,ENST00000518893</t>
  </si>
  <si>
    <t>ENSP00000284818,ENSP00000430533</t>
  </si>
  <si>
    <t>NM_001865,NR_029466</t>
  </si>
  <si>
    <t>NP_001856.2,-</t>
  </si>
  <si>
    <t>ENST00000370081,ENST00000370089,ENST00000459637,ENST00000509698,ENST00000460985,ENST00000472311,ENST00000377978,ENST00000481061</t>
  </si>
  <si>
    <t>ENSP00000359098,ENSP00000359106,ENSP00000421969,ENSP00000425951,ENSP00000422979,ENSP00000423432,ENSP00000421193</t>
  </si>
  <si>
    <t>Homo sapiens wingless-type MMTV integration site family, member 7A (WNT7A)</t>
  </si>
  <si>
    <t>ENST00000285018,ENST00000489346,ENST00000497808</t>
  </si>
  <si>
    <t>ENST00000471499,ENST00000463490,ENST00000379756</t>
  </si>
  <si>
    <t>ENST00000375071,ENST00000461985</t>
  </si>
  <si>
    <t>Homo sapiens RAS-like, family 10, member A (RASL10A)</t>
  </si>
  <si>
    <t>ENST00000401450,ENST00000216101,ENST00000608559,ENST00000474590</t>
  </si>
  <si>
    <t>ENSP00000386095,ENSP00000216101</t>
  </si>
  <si>
    <t>NM_001244249,NM_080649,NM_080648,NM_001641</t>
  </si>
  <si>
    <t>NP_001231178.1,NP_542380.1,NP_542379.1,NP_001632.2</t>
  </si>
  <si>
    <t>ENST00000555414,ENST00000216714,ENST00000553681,ENST00000554813,ENST00000556296,ENST00000557344,ENST00000555306,ENST00000553555,ENST00000398030,ENST00000554325,ENST00000557181,ENST00000555839,ENST00000557159,ENST00000553368,ENST00000556054,ENST00000557054,ENST00000557592,ENST00000557365,ENST00000557150,ENST00000438886</t>
  </si>
  <si>
    <t>ENSP00000451979,ENSP00000216714,ENSP00000451327,ENSP00000452137,ENSP00000381111,ENSP00000450604,ENSP00000452304,ENSP00000452460,ENSP00000451491,ENSP00000451170,ENSP00000452212,ENSP00000451060,ENSP00000452418,ENSP00000416414</t>
  </si>
  <si>
    <t>NM_001171629,NM_001171626,NM_001171625,NM_001171624,NM_001171623,NM_001033756,NM_001025368,NM_001025367,NM_003376,NM_001025366,NM_001171627,NM_001025369</t>
  </si>
  <si>
    <t>NP_001165100.1,NP_001165097.1,NP_001165096.1,NP_001165095.1,NP_001165094.1,NP_001028928.1,NP_001020539.2,NP_001020538.2,NP_003367.4,NP_001020537.2,NP_001165098.1,NP_001020540.2</t>
  </si>
  <si>
    <t>ENST00000476772,ENST00000372067,ENST00000324450,ENST00000417285,ENST00000413642,ENST00000372055,ENST00000482630,ENST00000425836,ENST00000372064,ENST00000372077,ENST00000519767,ENST00000520948,ENST00000518538,ENST00000523873,ENST00000523950,ENST00000512683,ENST00000457104,ENST00000518689,ENST00000523125,ENST00000518824,ENST00000230480,ENST00000480614,ENST00000520265,ENST00000497139,ENST00000493786,ENST00000611736,ENST00000621747,ENST00000615393,ENST00000617771</t>
  </si>
  <si>
    <t>ENSP00000361137,ENSP00000317598,ENSP00000388663,ENSP00000389864,ENSP00000361125,ENSP00000421561,ENSP00000388465,ENSP00000361134,ENSP00000361148,ENSP00000430594,ENSP00000428321,ENSP00000430479,ENSP00000429643,ENSP00000409911,ENSP00000430829,ENSP00000429008,ENSP00000430002,ENSP00000230480,ENSP00000429592,ENSP00000478570,ENSP00000483241,ENSP00000478034,ENSP00000484284</t>
  </si>
  <si>
    <t>ENST00000558022,ENST00000407106,ENST00000537726,ENST00000558767,ENST00000261755,ENST00000561369,ENST00000561421,ENST00000539156,ENST00000558627,ENST00000558514,ENST00000559542,ENST00000561353,ENST00000559217</t>
  </si>
  <si>
    <t>ENSP00000453152,ENSP00000385080,ENSP00000261755,ENSP00000453347,ENSP00000454271,ENSP00000454952</t>
  </si>
  <si>
    <t>ENST00000473763,ENST00000459790,ENST00000388918,ENST00000381136,ENST00000381142,ENST00000470909,ENST00000473504</t>
  </si>
  <si>
    <t>ENSP00000419006,ENSP00000373570,ENSP00000370528</t>
  </si>
  <si>
    <t>ENST00000539573,ENST00000266544,ENST00000542369,ENST00000396655,ENST00000544679,ENST00000535050,ENST00000535726,ENST00000544675,ENST00000540688</t>
  </si>
  <si>
    <t>ENSP00000266544,ENSP00000440305,ENSP00000439818</t>
  </si>
  <si>
    <t>Homo sapiens ST3 beta-galactoside alpha-2,3-sialyltransferase 4 (ST3GAL4)</t>
  </si>
  <si>
    <t>NM_001254759,NM_001254758,NM_001254757,NM_006278</t>
  </si>
  <si>
    <t>NP_001241688.1,NP_001241687.1,NP_001241686.1,NP_006269.1</t>
  </si>
  <si>
    <t>ENST00000534733,ENST00000227495,ENST00000531217,ENST00000444328,ENST00000530591,ENST00000534083,ENST00000528605,ENST00000526311,ENST00000528858,ENST00000534452,ENST00000392669,ENST00000526756,ENST00000526727,ENST00000449406,ENST00000532243,ENST00000534457,ENST00000524834,ENST00000524860,ENST00000533826,ENST00000356132</t>
  </si>
  <si>
    <t>ENSP00000433495,ENSP00000227495,ENSP00000432929,ENSP00000394354,ENSP00000433989,ENSP00000433318,ENSP00000432647,ENSP00000432424,ENSP00000434756,ENSP00000376437,ENSP00000436047,ENSP00000399444,ENSP00000434349,ENSP00000434668,ENSP00000431170,ENSP00000348451</t>
  </si>
  <si>
    <t>NM_176783,NM_006263</t>
  </si>
  <si>
    <t>NP_788955.1,NP_006254.1</t>
  </si>
  <si>
    <t>ENST00000206451,ENST00000559123,ENST00000561059,ENST00000561142,ENST00000382708,ENST00000561435,ENST00000470718,ENST00000559741,ENST00000560420,ENST00000558112</t>
  </si>
  <si>
    <t>ENSP00000206451,ENSP00000452843,ENSP00000372155,ENSP00000453976,ENSP00000453340</t>
  </si>
  <si>
    <t>Homo sapiens malate dehydrogenase 1, NAD (soluble)</t>
  </si>
  <si>
    <t>NM_001199112,NM_001199111,NM_005917</t>
  </si>
  <si>
    <t>NP_001186041.1,NP_001186040.1,NP_005908.1</t>
  </si>
  <si>
    <t>ENST00000485781,ENST00000233114,ENST00000409908,ENST00000442225,ENST00000409476,ENST00000485155,ENST00000436321,ENST00000462944,ENST00000454035,ENST00000472098,ENST00000432309,ENST00000421012,ENST00000484538,ENST00000495083,ENST00000539945,ENST00000544381</t>
  </si>
  <si>
    <t>ENSP00000233114,ENSP00000386743,ENSP00000399004,ENSP00000386719,ENSP00000394504,ENSP00000409027,ENSP00000410073,ENSP00000400937,ENSP00000438144,ENSP00000446395</t>
  </si>
  <si>
    <t>ENST00000616800,ENST00000622016,ENST00000470483,ENST00000368797,ENST00000484541,ENST00000368786,ENST00000465577,ENST00000464267,ENST00000462490,ENST00000420761,ENST00000368778,ENST00000368774</t>
  </si>
  <si>
    <t>ENSP00000482520,ENSP00000483041,ENSP00000357787,ENSP00000357775,ENSP00000478957,ENSP00000414833,ENSP00000357767,ENSP00000357763</t>
  </si>
  <si>
    <t>ENST00000569931,ENST00000352410,ENST00000566377,ENST00000569233,ENST00000567132,ENST00000564633,ENST00000568907,ENST00000561470,ENST00000563422,ENST00000564003,ENST00000562800,ENST00000563786,ENST00000535694,ENST00000323744,ENST00000567116,ENST00000568303,ENST00000568828,ENST00000562606,ENST00000565576,ENST00000567570,ENST00000568840,ENST00000567177,ENST00000566556,ENST00000564692</t>
  </si>
  <si>
    <t>ENSP00000455161,ENSP00000318318,ENSP00000455405,ENSP00000454622,ENSP00000455972,ENSP00000455383,ENSP00000457494,ENSP00000454267,ENSP00000457885,ENSP00000454312,ENSP00000457619,ENSP00000455241,ENSP00000440447,ENSP00000318192,ENSP00000455065,ENSP00000457020,ENSP00000454619,ENSP00000455477,ENSP00000457013</t>
  </si>
  <si>
    <t>ENST00000373176,ENST00000550143,ENST00000413016,ENST00000373156,ENST00000223836,ENST00000550992</t>
  </si>
  <si>
    <t>ENSP00000362271,ENSP00000449130,ENSP00000392314,ENSP00000362249,ENSP00000223836,ENSP00000448741</t>
  </si>
  <si>
    <t>ENST00000233596,ENST00000591735,ENST00000395479,ENST00000395484</t>
  </si>
  <si>
    <t>ENSP00000233596,ENSP00000378861,ENSP00000378865</t>
  </si>
  <si>
    <t>NR_026550,NM_015415,NM_001143674</t>
  </si>
  <si>
    <t>-,NP_056230.1,NP_001137146.1</t>
  </si>
  <si>
    <t>ENST00000367846,ENST00000271373,ENST00000458574</t>
  </si>
  <si>
    <t>ENSP00000356820,ENSP00000271373,ENSP00000392874</t>
  </si>
  <si>
    <t>ENST00000595483,ENST00000263368,ENST00000601346,ENST00000597870</t>
  </si>
  <si>
    <t>ENSP00000471720,ENSP00000263368,ENSP00000470619</t>
  </si>
  <si>
    <t>NM_032989,NM_004322</t>
  </si>
  <si>
    <t>NP_116784.1,NP_004313.1</t>
  </si>
  <si>
    <t>ENST00000394532,ENST00000309032,ENST00000544785,ENST00000394531,ENST00000493798,ENST00000492141,ENST00000544271</t>
  </si>
  <si>
    <t>ENSP00000378040,ENSP00000309103,ENSP00000440575,ENSP00000378039,ENSP00000438975,ENSP00000439202</t>
  </si>
  <si>
    <t>Homo sapiens aldehyde dehydrogenase 1 family, member A1 (ALDH1A1)</t>
  </si>
  <si>
    <t>ENST00000297785,ENST00000376939,ENST00000482210,ENST00000419959,ENST00000446946,ENST00000493113,ENST00000493311</t>
  </si>
  <si>
    <t>ENSP00000297785,ENSP00000366138,ENSP00000388026,ENSP00000401361</t>
  </si>
  <si>
    <t>Homo sapiens enoyl CoA hydratase, short chain, 1, mitochondrial (ECHS1)</t>
  </si>
  <si>
    <t>Homo sapiens solute carrier family 38, member 3 (SLC38A3)</t>
  </si>
  <si>
    <t>ENST00000610458,ENST00000614032,ENST00000621714,ENST00000620404,ENST00000445096,ENST00000621456,ENST00000439524,ENST00000417851,ENST00000417121</t>
  </si>
  <si>
    <t>ENSP00000479737,ENSP00000481301,ENSP00000483959,ENSP00000480466,ENSP00000484379</t>
  </si>
  <si>
    <t>ENST00000379359,ENST00000487837</t>
  </si>
  <si>
    <t>Homo sapiens LSM4 homolog, U6 small nuclear RNA associated (S. cerevisiae)</t>
  </si>
  <si>
    <t>NM_001252129,NM_012321</t>
  </si>
  <si>
    <t>NP_001239058.1,NP_036453.1</t>
  </si>
  <si>
    <t>ENST00000593829,ENST00000252816,ENST00000600289,ENST00000594828,ENST00000597776,ENST00000593564</t>
  </si>
  <si>
    <t>ENSP00000469468,ENSP00000475950,ENSP00000469028,ENSP00000477443,ENSP00000476184</t>
  </si>
  <si>
    <t>NM_001270481,NM_002798</t>
  </si>
  <si>
    <t>NP_001257410.1,NP_002789.1</t>
  </si>
  <si>
    <t>ENST00000270586,ENST00000575079,ENST00000571309,ENST00000575643,ENST00000614486</t>
  </si>
  <si>
    <t>ENSP00000270586,ENSP00000460811,ENSP00000485006</t>
  </si>
  <si>
    <t>NM_001201363,NM_138730,NM_004242</t>
  </si>
  <si>
    <t>NP_001188292.1,NP_620058.1,NP_004233.1</t>
  </si>
  <si>
    <t>ENST00000344726,ENST00000275036,ENST00000620514</t>
  </si>
  <si>
    <t>ENSP00000341267,ENSP00000275036,ENSP00000482613</t>
  </si>
  <si>
    <t>NM_001258042,NM_001258041,NM_001258040,NM_002109</t>
  </si>
  <si>
    <t>NP_001244971.1,NP_001244970.1,NP_001244969.1,NP_002100.2</t>
  </si>
  <si>
    <t>ENST00000504156,ENST00000457527,ENST00000431330,ENST00000504366,ENST00000307633,ENST00000438307,ENST00000509087,ENST00000415192,ENST00000506579,ENST00000507746,ENST00000512396,ENST00000518126,ENST00000502888</t>
  </si>
  <si>
    <t>ENSP00000425634,ENSP00000387893,ENSP00000393244,ENSP00000430063,ENSP00000304668,ENSP00000411511,ENSP00000411085,ENSP00000425889,ENSP00000421576</t>
  </si>
  <si>
    <t>NM_001082487,NM_001082486,NM_022914</t>
  </si>
  <si>
    <t>NP_001075956.1,NP_001075955.1,NP_075065.2</t>
  </si>
  <si>
    <t>ENST00000620761,ENST00000219251,ENST00000602382,ENST00000393919,ENST00000602656,ENST00000602622,ENST00000602320,ENST00000602860,ENST00000602850,ENST00000602945,ENST00000602519,ENST00000602423,ENST00000602780,ENST00000602821,ENST00000620338</t>
  </si>
  <si>
    <t>ENSP00000478084,ENSP00000219251,ENSP00000473313,ENSP00000377496,ENSP00000473679,ENSP00000473595,ENSP00000483117</t>
  </si>
  <si>
    <t>Homo sapiens ATPase, H+ transporting, lysosomal 14kDa, V1 subunit F (ATP6V1F)</t>
  </si>
  <si>
    <t>NM_001198909,NM_004231</t>
  </si>
  <si>
    <t>NP_001185838.1,NP_004222.2</t>
  </si>
  <si>
    <t>ENST00000249289,ENST00000492758</t>
  </si>
  <si>
    <t>ENSP00000249289,ENSP00000417378</t>
  </si>
  <si>
    <t>Homo sapiens myocilin, trabecular meshwork inducible glucocorticoid response (MYOC)</t>
  </si>
  <si>
    <t>ENST00000037502,ENST00000614688</t>
  </si>
  <si>
    <t>ENSP00000037502,ENSP00000478680</t>
  </si>
  <si>
    <t>Homo sapiens complement component 1, q subcomponent binding protein (C1QBP)</t>
  </si>
  <si>
    <t>ENST00000225698,ENST00000574444,ENST00000570805,ENST00000573204,ENST00000573421,ENST00000573406,ENST00000576122</t>
  </si>
  <si>
    <t>ENSP00000225698,ENSP00000460308,ENSP00000460638,ENSP00000458624</t>
  </si>
  <si>
    <t>ENST00000307741,ENST00000585673,ENST00000585338,ENST00000586780,ENST00000586677,ENST00000589087,ENST00000591149,ENST00000590533,ENST00000591363,ENST00000590970,ENST00000587401,ENST00000395212,ENST00000592639,ENST00000587468</t>
  </si>
  <si>
    <t>ENSP00000304467,ENSP00000465545,ENSP00000467226,ENSP00000466653,ENSP00000465855,ENSP00000465895,ENSP00000378638,ENSP00000464786</t>
  </si>
  <si>
    <t>ENST00000533086,ENST00000263383,ENST00000534378,ENST00000534806,ENST00000524779,ENST00000596093,ENST00000525880,ENST00000598709,ENST00000533148,ENST00000531635,ENST00000600984,ENST00000527093,ENST00000533747,ENST00000599324</t>
  </si>
  <si>
    <t>ENSP00000263383,ENSP00000470942,ENSP00000470834,ENSP00000434734,ENSP00000471762,ENSP00000435516,ENSP00000433355</t>
  </si>
  <si>
    <t>ENST00000483295,ENST00000235382,ENST00000464302,ENST00000487236</t>
  </si>
  <si>
    <t>NM_181702,NM_005261</t>
  </si>
  <si>
    <t>NP_859053.1,NP_005252.1</t>
  </si>
  <si>
    <t>ENST00000396194,ENST00000297596,ENST00000523660,ENST00000521817,ENST00000523433</t>
  </si>
  <si>
    <t>ENSP00000379497,ENSP00000297596,ENSP00000428258</t>
  </si>
  <si>
    <t>NM_001145110,NM_001145109,NM_001145108,NM_001145107,NM_006159</t>
  </si>
  <si>
    <t>NP_001138582.1,NP_001138581.1,NP_001138580.1,NP_001138579.1,NP_006150.1</t>
  </si>
  <si>
    <t>ENST00000429094,ENST00000551601,ENST00000452445,ENST00000549027,ENST00000333837,ENST00000437801,ENST00000547636,ENST00000550139,ENST00000549668,ENST00000550313,ENST00000547751,ENST00000550462,ENST00000552993,ENST00000547172,ENST00000553120,ENST00000548826,ENST00000548531,ENST00000546415,ENST00000551949,ENST00000395487</t>
  </si>
  <si>
    <t>ENSP00000390680,ENSP00000449332,ENSP00000394612,ENSP00000447927,ENSP00000327988,ENSP00000416341,ENSP00000448107,ENSP00000448407,ENSP00000450102,ENSP00000447085,ENSP00000447384,ENSP00000448635,ENSP00000449068,ENSP00000446961,ENSP00000378866</t>
  </si>
  <si>
    <t>ENST00000328619,ENST00000462224,ENST00000468717,ENST00000467565</t>
  </si>
  <si>
    <t>ENSP00000329403,ENSP00000433172</t>
  </si>
  <si>
    <t>NM_019554,NM_002961</t>
  </si>
  <si>
    <t>NP_062427.1,NP_002952.1</t>
  </si>
  <si>
    <t>ENST00000368715,ENST00000481009,ENST00000354332,ENST00000468373,ENST00000368716,ENST00000368714</t>
  </si>
  <si>
    <t>ENSP00000357704,ENSP00000346294,ENSP00000357705,ENSP00000357703</t>
  </si>
  <si>
    <t>NM_001204368,NM_001204367,NM_001204366,NM_002413</t>
  </si>
  <si>
    <t>NP_001191297.1,NP_001191296.1,NP_001191295.1,NP_002404.1</t>
  </si>
  <si>
    <t>ENST00000265498,ENST00000506797,ENST00000515137,ENST00000502587,ENST00000503816,ENST00000515067,ENST00000616265</t>
  </si>
  <si>
    <t>ENSP00000265498,ENSP00000424278,ENSP00000423008,ENSP00000482639</t>
  </si>
  <si>
    <t>ENST00000300035,ENST00000380258,ENST00000559519,ENST00000558008,ENST00000558043,ENST00000560234,ENST00000559280,ENST00000558250,ENST00000625619</t>
  </si>
  <si>
    <t>ENSP00000300035,ENSP00000369608,ENSP00000452975,ENSP00000453527,ENSP00000485699</t>
  </si>
  <si>
    <t>NM_001270551,NR_073039,NM_001270552,NM_001012333,NM_001012334,NM_001270550,NM_002391</t>
  </si>
  <si>
    <t>NP_001257480.1,-,NP_001257481.1,NP_001012333.1,NP_001012334.1,NP_001257479.1,NP_002382.1</t>
  </si>
  <si>
    <t>ENST00000405308,ENST00000441869,ENST00000490240,ENST00000359803,ENST00000533952,ENST00000395569,ENST00000395566,ENST00000533283,ENST00000481047,ENST00000489525,ENST00000407067,ENST00000395565,ENST00000617138</t>
  </si>
  <si>
    <t>ENSP00000385451,ENSP00000416241,ENSP00000352852,ENSP00000432649,ENSP00000378936,ENSP00000378933,ENSP00000433240,ENSP00000384034,ENSP00000378932,ENSP00000480875</t>
  </si>
  <si>
    <t>Homo sapiens nuclear receptor subfamily 4, group A, member 2 (NR4A2)</t>
  </si>
  <si>
    <t>ENST00000339562,ENST00000426264,ENST00000409572,ENST00000417764,ENST00000417972,ENST00000409108,ENST00000429376,ENST00000406048,ENST00000424077,ENST00000421709</t>
  </si>
  <si>
    <t>ENSP00000344479,ENSP00000389986,ENSP00000386747,ENSP00000415632,ENSP00000394671,ENSP00000386993,ENSP00000410952,ENSP00000385379,ENSP00000406808,ENSP00000388120</t>
  </si>
  <si>
    <t>NM_148976,NM_002786</t>
  </si>
  <si>
    <t>NP_683877.1,NP_002777.1</t>
  </si>
  <si>
    <t>ENST00000524606,ENST00000396394,ENST00000530457,ENST00000528307,ENST00000418988,ENST00000527632,ENST00000531023,ENST00000533331,ENST00000529524,ENST00000531156,ENST00000526443,ENST00000533068,ENST00000532256,ENST00000528018</t>
  </si>
  <si>
    <t>ENSP00000379676,ENSP00000441166,ENSP00000414359,ENSP00000439724,ENSP00000439080</t>
  </si>
  <si>
    <t>NM_001077188,NM_147175</t>
  </si>
  <si>
    <t>NP_001070656.1,NP_671704.3</t>
  </si>
  <si>
    <t>ENST00000370836,ENST00000521489,ENST00000602570,ENST00000370833,ENST00000406696</t>
  </si>
  <si>
    <t>ENSP00000359873,ENSP00000429473,ENSP00000359870,ENSP00000384013</t>
  </si>
  <si>
    <t>ENST00000310614,ENST00000508278,ENST00000540162,ENST00000544140,ENST00000544819,ENST00000497094,ENST00000411840,ENST00000535277,ENST00000398483,ENST00000542303,ENST00000537007,ENST00000543058,ENST00000543374,ENST00000314282</t>
  </si>
  <si>
    <t>ENSP00000308717,ENSP00000445111,ENSP00000441925,ENSP00000444441,ENSP00000442146,ENSP00000439632,ENSP00000399076,ENSP00000439573,ENSP00000381497,ENSP00000443685,ENSP00000446144,ENSP00000442878,ENSP00000321539</t>
  </si>
  <si>
    <t>ENST00000592996,ENST00000593069,ENST00000308964,ENST00000587213,ENST00000586790,ENST00000591578,ENST00000588740,ENST00000586864,ENST00000591241</t>
  </si>
  <si>
    <t>ENSP00000466597,ENSP00000468521,ENSP00000309681,ENSP00000468077,ENSP00000465757,ENSP00000466870,ENSP00000468539,ENSP00000466521</t>
  </si>
  <si>
    <t>Homo sapiens cytochrome P450, family 27, subfamily A, polypeptide 1 (CYP27A1)</t>
  </si>
  <si>
    <t>ENST00000494263,ENST00000258415,ENST00000445971,ENST00000466602,ENST00000411688</t>
  </si>
  <si>
    <t>ENSP00000258415,ENSP00000404945,ENSP00000392671</t>
  </si>
  <si>
    <t>NM_053035,NM_016071</t>
  </si>
  <si>
    <t>NP_444263.1,NP_057155.1</t>
  </si>
  <si>
    <t>ENST00000324787,ENST00000393008,ENST00000472343,ENST00000496958,ENST00000484502,ENST00000469351,ENST00000467334,ENST00000496641,ENST00000485202</t>
  </si>
  <si>
    <t>ENSP00000320567,ENSP00000376732,ENSP00000418451,ENSP00000417287,ENSP00000420709</t>
  </si>
  <si>
    <t>ENST00000383596,ENST00000458592,ENST00000488456,ENST00000495838,ENST00000469494</t>
  </si>
  <si>
    <t>ENSP00000373090,ENSP00000392654</t>
  </si>
  <si>
    <t>Homo sapiens angio-associated, migratory cell protein (AAMP)</t>
  </si>
  <si>
    <t>ENST00000248450,ENST00000444053,ENST00000475678,ENST00000420660,ENST00000494720,ENST00000489767,ENST00000422731,ENST00000465442,ENST00000447885,ENST00000461911</t>
  </si>
  <si>
    <t>ENSP00000248450,ENSP00000403343,ENSP00000416394,ENSP00000396295,ENSP00000393818</t>
  </si>
  <si>
    <t>ENST00000389131,ENST00000520617,ENST00000523833,ENST00000520349,ENST00000518878,ENST00000522446,ENST00000519809,ENST00000520925,ENST00000518472,ENST00000524144,ENST00000520871,ENST00000518083,ENST00000524168,ENST00000519243,ENST00000524075</t>
  </si>
  <si>
    <t>ENSP00000373783,ENSP00000473322,ENSP00000427907,ENSP00000427826,ENSP00000427883,ENSP00000429778,ENSP00000430519,ENSP00000428497,ENSP00000428933</t>
  </si>
  <si>
    <t>ENST00000379349,ENST00000379341,ENST00000495599,ENST00000379331,ENST00000439422</t>
  </si>
  <si>
    <t>ENSP00000368654,ENSP00000368646,ENSP00000368635,ENSP00000413736</t>
  </si>
  <si>
    <t>ENST00000290913,ENST00000503119,ENST00000508789,ENST00000514908,ENST00000513253,ENST00000515867,ENST00000504973,ENST00000510044</t>
  </si>
  <si>
    <t>ENSP00000290913,ENSP00000427517,ENSP00000422912,ENSP00000422787</t>
  </si>
  <si>
    <t>NM_001184991,NM_001184986,NM_001184990,NM_001184989,NM_001184988,NM_001184987,NM_002494</t>
  </si>
  <si>
    <t>NP_001171920.1,NP_001171915.1,NP_001171919.1,NP_001171918.1,NP_001171917.1,NP_001171916.1,NP_002485.1</t>
  </si>
  <si>
    <t>ENST00000503997,ENST00000394228,ENST00000505036,ENST00000503453,ENST00000394225,ENST00000394223,ENST00000513022,ENST00000507764,ENST00000539387,ENST00000544855,ENST00000539002</t>
  </si>
  <si>
    <t>ENSP00000425882,ENSP00000377775,ENSP00000421195,ENSP00000377770,ENSP00000439882,ENSP00000441126,ENSP00000440133</t>
  </si>
  <si>
    <t>Homo sapiens centromere protein B, 80kDa (CENPB)</t>
  </si>
  <si>
    <t>Homo sapiens integrin, beta 4 (ITGB4)</t>
  </si>
  <si>
    <t>NM_000213,NM_001005619,NM_001005731</t>
  </si>
  <si>
    <t>NP_000204.3,NP_001005619.1,NP_001005731.1</t>
  </si>
  <si>
    <t>ENST00000579662,ENST00000200181,ENST00000450894,ENST00000580542,ENST00000449880,ENST00000584558,ENST00000582629,ENST00000584374,ENST00000584025,ENST00000583327,ENST00000579211,ENST00000584939,ENST00000578318</t>
  </si>
  <si>
    <t>ENSP00000463651,ENSP00000200181,ENSP00000405536,ENSP00000400217,ENSP00000463788,ENSP00000464259,ENSP00000462494</t>
  </si>
  <si>
    <t>Homo sapiens ATP synthase, H+ transporting, mitochondrial Fo complex, subunit E (ATP5I)</t>
  </si>
  <si>
    <t>NM_007100,NR_033743</t>
  </si>
  <si>
    <t>NP_009031.1,-</t>
  </si>
  <si>
    <t>ENST00000515202,ENST00000304312,ENST00000506525,ENST00000505852,ENST00000515116</t>
  </si>
  <si>
    <t>ENST00000479974,ENST00000466681,ENST00000287543,ENST00000481564,ENST00000476623</t>
  </si>
  <si>
    <t>ENST00000300900,ENST00000585705,ENST00000591725,ENST00000586876,ENST00000590203,ENST00000587265</t>
  </si>
  <si>
    <t>ENSP00000300900,ENSP00000466964,ENSP00000467465,ENSP00000465837,ENSP00000464757</t>
  </si>
  <si>
    <t>Homo sapiens TAF10 RNA polymerase II, TATA box binding protein (TBP)</t>
  </si>
  <si>
    <t>ENST00000616342,ENST00000299424,ENST00000527248,ENST00000531760,ENST00000532344</t>
  </si>
  <si>
    <t>ENSP00000299424,ENSP00000480402</t>
  </si>
  <si>
    <t>Homo sapiens myosin, light chain 6B, alkali, smooth muscle and non-muscle (MYL6B)</t>
  </si>
  <si>
    <t>NM_002475,NM_001199629</t>
  </si>
  <si>
    <t>NP_002466.1,NP_001186558.1</t>
  </si>
  <si>
    <t>ENST00000553066,ENST00000550443,ENST00000551834,ENST00000405661,ENST00000552568,ENST00000550152,ENST00000549178,ENST00000548548,ENST00000550550,ENST00000548571,ENST00000549380</t>
  </si>
  <si>
    <t>ENSP00000450385,ENSP00000446643,ENSP00000448198,ENSP00000446965</t>
  </si>
  <si>
    <t>Homo sapiens ATPase, H+ transporting, lysosomal 13kDa, V1 subunit G1 (ATP6V1G1)</t>
  </si>
  <si>
    <t>ENST00000374050,ENST00000473413</t>
  </si>
  <si>
    <t>ENST00000432321,ENST00000313468,ENST00000531796,ENST00000453471,ENST00000526446,ENST00000528492,ENST00000532399,ENST00000531228,ENST00000526339,ENST00000525419,ENST00000525628,ENST00000529645,ENST00000524810,ENST00000526542,ENST00000531282</t>
  </si>
  <si>
    <t>ENSP00000315774,ENSP00000403972,ENSP00000433645,ENSP00000432848,ENSP00000433054,ENSP00000436287,ENSP00000433521,ENSP00000432968,ENSP00000431293,ENSP00000434283</t>
  </si>
  <si>
    <t>ENST00000366574,ENST00000609119,ENST00000609253,ENST00000608590,ENST00000466626,ENST00000462585,ENST00000360064</t>
  </si>
  <si>
    <t>ENSP00000355533,ENSP00000353174</t>
  </si>
  <si>
    <t>ENST00000606961,ENST00000374231,ENST00000607484,ENST00000374214</t>
  </si>
  <si>
    <t>ENSP00000363348,ENSP00000476140,ENSP00000363331</t>
  </si>
  <si>
    <t>NM_001163423,NM_207115,NM_016202</t>
  </si>
  <si>
    <t>NP_001156895.1,NP_996998.1,NP_057286.1</t>
  </si>
  <si>
    <t>ENST00000592881,ENST00000325333,ENST00000590190,ENST00000543039,ENST00000592461,ENST00000545125</t>
  </si>
  <si>
    <t>ENSP00000468407,ENSP00000320050,ENSP00000465028,ENSP00000443957,ENSP00000467142,ENSP00000446126</t>
  </si>
  <si>
    <t>Homo sapiens biogenesis of lysosomal organelles complex-1, subunit 1 (BLOC1S1)|Homo sapiens BLOC1S1-RDH5 readthrough (BLOC1S1-RDH5)</t>
  </si>
  <si>
    <t>NM_001487,NR_037656,NR_037657,NR_037655|NR_037658</t>
  </si>
  <si>
    <t>NP_001478.2,-,-,-|-</t>
  </si>
  <si>
    <t>ENST00000548925,ENST00000549147,ENST00000553100,ENST00000547076,ENST00000551926,ENST00000548556</t>
  </si>
  <si>
    <t>ENSP00000447537,ENSP00000450328,ENSP00000446619,ENSP00000448605,ENSP00000448171,ENSP00000450218</t>
  </si>
  <si>
    <t>Homo sapiens interferon, alpha-inducible protein 27-like 2 (IFI27L2)</t>
  </si>
  <si>
    <t>ENST00000555558,ENST00000554909,ENST00000238609,ENST00000556727,ENST00000553601,ENST00000556552</t>
  </si>
  <si>
    <t>ENSP00000238609,ENSP00000451717</t>
  </si>
  <si>
    <t>Homo sapiens carboxypeptidase, vitellogenic-like (CPVL)</t>
  </si>
  <si>
    <t>NM_019029,NM_031311</t>
  </si>
  <si>
    <t>NP_061902.2,NP_112601.3</t>
  </si>
  <si>
    <t>ENST00000265394,ENST00000396276,ENST00000432534,ENST00000455893,ENST00000409850,ENST00000448959,ENST00000458405,ENST00000447426,ENST00000488891,ENST00000449801,ENST00000455544,ENST00000437527,ENST00000614864,ENST00000612187</t>
  </si>
  <si>
    <t>ENSP00000265394,ENSP00000379572,ENSP00000397327,ENSP00000403580,ENSP00000387164,ENSP00000409036,ENSP00000417015,ENSP00000395690,ENSP00000413287,ENSP00000412857,ENSP00000416555,ENSP00000481092,ENSP00000479581</t>
  </si>
  <si>
    <t>NM_001014446,NM_152398</t>
  </si>
  <si>
    <t>NP_001014446.1,NP_689611.1</t>
  </si>
  <si>
    <t>ENST00000508632,ENST00000514576,ENST00000508069,ENST00000273860,ENST00000506226,ENST00000381464,ENST00000512087,ENST00000510159,ENST00000514155,ENST00000620187</t>
  </si>
  <si>
    <t>ENSP00000423014,ENSP00000273860,ENSP00000370873,ENSP00000425452,ENSP00000483997</t>
  </si>
  <si>
    <t>NM_031277,NM_001184993</t>
  </si>
  <si>
    <t>NP_112567.2,NP_001171922.1</t>
  </si>
  <si>
    <t>ENST00000255324,ENST00000255326,ENST00000255325,ENST00000418120,ENST00000339524</t>
  </si>
  <si>
    <t>ENSP00000255324,ENSP00000255325,ENSP00000388892,ENSP00000344776</t>
  </si>
  <si>
    <t>ENST00000548364,ENST00000380491,ENST00000548913,ENST00000549398,ENST00000551266,ENST00000314014</t>
  </si>
  <si>
    <t>ENSP00000447109,ENSP00000369859,ENSP00000450103,ENSP00000316898</t>
  </si>
  <si>
    <t>Homo sapiens serine peptidase inhibitor, Kazal type 2 (acrosin-trypsin inhibitor)</t>
  </si>
  <si>
    <t>NR_073419,NR_073418,NR_073417,NM_001271722,NM_001271721,NM_001271720,NM_001271719,NM_021114,NM_001271718</t>
  </si>
  <si>
    <t>-,-,-,NP_001258651.1,NP_001258650.1,NP_001258649.1,NP_001258648.1,NP_066937.1,NP_001258647.1</t>
  </si>
  <si>
    <t>ENST00000509707,ENST00000248701,ENST00000506738,ENST00000504762,ENST00000618802,ENST00000631082,ENST00000616980</t>
  </si>
  <si>
    <t>ENSP00000248701,ENSP00000425961,ENSP00000423858,ENSP00000477722,ENSP00000487028,ENSP00000478284</t>
  </si>
  <si>
    <t>ENST00000463837,ENST00000356786,ENST00000494080,ENST00000494566,ENST00000492980,ENST00000359902,ENST00000479965,ENST00000473405,ENST00000472524,ENST00000301897</t>
  </si>
  <si>
    <t>ENSP00000349238,ENSP00000352974,ENSP00000301897</t>
  </si>
  <si>
    <t>ENST00000301459,ENST00000489217,ENST00000473926</t>
  </si>
  <si>
    <t>ENST00000409466,ENST00000334816,ENST00000409877,ENST00000409523,ENST00000414534,ENST00000498049</t>
  </si>
  <si>
    <t>ENSP00000386302,ENSP00000335041,ENSP00000387234,ENSP00000386714,ENSP00000388482</t>
  </si>
  <si>
    <t>ENST00000630954,ENST00000625241,ENST00000630901,ENST00000629964,ENST00000629606,ENST00000630592,ENST00000627797,ENST00000625673,ENST00000629471,ENST00000628079,ENST00000629982,ENST00000627769</t>
  </si>
  <si>
    <t>ENSP00000486271,ENSP00000487390,ENSP00000487091,ENSP00000485785,ENSP00000487170,ENSP00000487026,ENSP00000486882,ENSP00000485963,ENSP00000485834,ENSP00000486564</t>
  </si>
  <si>
    <t>ENST00000423145,ENST00000245903,ENST00000597430</t>
  </si>
  <si>
    <t>ENSP00000395294,ENSP00000245903,ENSP00000470805</t>
  </si>
  <si>
    <t>NM_001011645,NM_000044</t>
  </si>
  <si>
    <t>NP_001011645.1,NP_000035.2</t>
  </si>
  <si>
    <t>ENST00000374690,ENST00000513847,ENST00000504326,ENST00000514029,ENST00000396043,ENST00000612010,ENST00000613054,ENST00000612452,ENST00000396044</t>
  </si>
  <si>
    <t>ENSP00000363822,ENSP00000421155,ENSP00000425199,ENSP00000379358,ENSP00000482407,ENSP00000479013,ENSP00000484033,ENSP00000379359</t>
  </si>
  <si>
    <t>Homo sapiens retinol binding protein 1, cellular (RBP1)</t>
  </si>
  <si>
    <t>ENST00000474490,ENST00000232219,ENST00000619087,ENST00000483943,ENST00000487424,ENST00000492918,ENST00000617459</t>
  </si>
  <si>
    <t>ENSP00000232219,ENSP00000482165,ENSP00000424813,ENSP00000427492,ENSP00000429166,ENSP00000477621</t>
  </si>
  <si>
    <t>NM_001178102,NM_002317</t>
  </si>
  <si>
    <t>NP_001171573.1,NP_002308.2</t>
  </si>
  <si>
    <t>ENST00000231004,ENST00000513319,ENST00000505593,ENST00000503759,ENST00000508067</t>
  </si>
  <si>
    <t>ENSP00000231004,ENSP00000427538</t>
  </si>
  <si>
    <t>NM_001198721,NM_181333,NM_001017529,NM_001017528,NM_001017530,NM_015366</t>
  </si>
  <si>
    <t>NP_001185650.1,NP_851850.1,NP_001017529.1,NP_001017528.1,NP_001017530.1,NP_056181.2</t>
  </si>
  <si>
    <t>ENST00000432186,ENST00000492475,ENST00000006251,ENST00000459857,ENST00000403581,ENST00000492289,ENST00000336985,ENST00000403696,ENST00000457960,ENST00000431834,ENST00000432916,ENST00000477331,ENST00000455389,ENST00000495017,ENST00000475850,ENST00000611394,ENST00000624862,ENST00000617066</t>
  </si>
  <si>
    <t>ENSP00000400925,ENSP00000006251,ENSP00000384848,ENSP00000337464,ENSP00000384746,ENSP00000410215,ENSP00000407637,ENSP00000392026,ENSP00000480357,ENSP00000485597,ENSP00000479623</t>
  </si>
  <si>
    <t>NM_001242335,NM_001242334,NM_001242333,NM_199160,NM_014368</t>
  </si>
  <si>
    <t>NP_001229264.1,NP_001229263.1,NP_001229262.1,NP_954629.2,NP_055183.2</t>
  </si>
  <si>
    <t>ENST00000373755,ENST00000373754,ENST00000394319,ENST00000340587,ENST00000559895,ENST00000541397,ENST00000482062,ENST00000464484,ENST00000558672,ENST00000560152,ENST00000560485,ENST00000559529</t>
  </si>
  <si>
    <t>ENSP00000362860,ENSP00000362859,ENSP00000377854,ENSP00000340137,ENSP00000475927,ENSP00000441464,ENSP00000453798,ENSP00000452811,ENSP00000453606</t>
  </si>
  <si>
    <t>NM_144507,NM_144506,NM_144505,NM_007196</t>
  </si>
  <si>
    <t>NP_653090.1,NP_653089.1,NP_653088.1,NP_009127.1</t>
  </si>
  <si>
    <t>ENST00000391806,ENST00000600767,ENST00000594914,ENST00000347619,ENST00000593490,ENST00000598195,ENST00000594669,ENST00000595238,ENST00000599710,ENST00000291726,ENST00000320838</t>
  </si>
  <si>
    <t>ENSP00000375682,ENSP00000472016,ENSP00000341555,ENSP00000469278,ENSP00000473067,ENSP00000472273,ENSP00000291726,ENSP00000325072</t>
  </si>
  <si>
    <t>ENST00000308064,ENST00000533673,ENST00000531322</t>
  </si>
  <si>
    <t>Homo sapiens cyclin-dependent kinase inhibitor 1C (p57, Kip2)</t>
  </si>
  <si>
    <t>NM_001122631,NM_001122630,NM_000076</t>
  </si>
  <si>
    <t>NP_001116103.1,NP_001116102.1,NP_000067.1</t>
  </si>
  <si>
    <t>ENST00000631604,ENST00000616138,ENST00000313407,ENST00000633020,ENST00000631746</t>
  </si>
  <si>
    <t>ENSP00000488761,ENSP00000484462,ENSP00000321019,ENSP00000488786</t>
  </si>
  <si>
    <t>ENST00000367462,ENST00000463404,ENST00000631494,ENST00000445957,ENST00000633243</t>
  </si>
  <si>
    <t>ENSP00000356432,ENSP00000487601,ENSP00000393441</t>
  </si>
  <si>
    <t>NR_027910,NM_001740,NM_007088</t>
  </si>
  <si>
    <t>-,NP_001731.2,NP_009019.1</t>
  </si>
  <si>
    <t>ENST00000302628,ENST00000562305,ENST00000490520,ENST00000467817,ENST00000349553</t>
  </si>
  <si>
    <t>ENSP00000307508,ENSP00000454639,ENSP00000454467,ENSP00000340294</t>
  </si>
  <si>
    <t>NM_001014840,NM_001014433,NM_001014838,NM_001014837,NM_015921</t>
  </si>
  <si>
    <t>NP_001014840.1,NP_001014433.1,NP_001014838.1,NP_001014837.1,NP_057005.1</t>
  </si>
  <si>
    <t>ENST00000462802,ENST00000374500,ENST00000479249,ENST00000488034,ENST00000607266,ENST00000494751,ENST00000488478,ENST00000482684,ENST00000374484,ENST00000465956,ENST00000440279,ENST00000487637,ENST00000374496,ENST00000492510,ENST00000611509</t>
  </si>
  <si>
    <t>ENSP00000363624,ENSP00000417544,ENSP00000475963,ENSP00000418659,ENSP00000418612,ENSP00000417823,ENSP00000363608,ENSP00000403268,ENSP00000363620,ENSP00000480360</t>
  </si>
  <si>
    <t>Homo sapiens ATP synthase, H+ transporting, mitochondrial Fo complex, subunit G (ATP5L)</t>
  </si>
  <si>
    <t>NM_006476,NR_033759</t>
  </si>
  <si>
    <t>NP_006467.4,-</t>
  </si>
  <si>
    <t>ENST00000300688,ENST00000529790,ENST00000529770,ENST00000533172,ENST00000524422,ENST00000529460,ENST00000534385,ENST00000527186</t>
  </si>
  <si>
    <t>ENSP00000300688,ENSP00000434865</t>
  </si>
  <si>
    <t>Homo sapiens 3-hydroxyanthranilate 3,4-dioxygenase (HAAO)</t>
  </si>
  <si>
    <t>ENST00000402268,ENST00000406924,ENST00000431905,ENST00000404451,ENST00000402698,ENST00000294973,ENST00000406007</t>
  </si>
  <si>
    <t>ENSP00000412601,ENSP00000294973</t>
  </si>
  <si>
    <t>ENST00000559763,ENST00000330964,ENST00000462430,ENST00000455271,ENST00000482846,ENST00000411926,ENST00000439025</t>
  </si>
  <si>
    <t>ENSP00000331019,ENSP00000453764,ENSP00000412026,ENSP00000405300,ENSP00000402423</t>
  </si>
  <si>
    <t>ENST00000596731,ENST00000222190,ENST00000598732,ENST00000600694</t>
  </si>
  <si>
    <t>ENSP00000468969,ENSP00000222190,ENSP00000471797</t>
  </si>
  <si>
    <t>Homo sapiens dolichyl-phosphate mannosyltransferase polypeptide 2, regulatory subunit (DPM2)</t>
  </si>
  <si>
    <t>ENST00000495270,ENST00000314392,ENST00000470181,ENST00000473360,ENST00000373110</t>
  </si>
  <si>
    <t>ENSP00000322181,ENSP00000362202</t>
  </si>
  <si>
    <t>NM_004894,NM_001127393</t>
  </si>
  <si>
    <t>NP_004885.1,NP_001120865.1</t>
  </si>
  <si>
    <t>ENST00000286953,ENST00000554880,ENST00000555030,ENST00000414262,ENST00000553430,ENST00000554287,ENST00000557040,ENST00000553449,ENST00000554089,ENST00000554713,ENST00000557260,ENST00000554528</t>
  </si>
  <si>
    <t>ENSP00000286953,ENSP00000452133,ENSP00000452186,ENSP00000401770,ENSP00000452462,ENSP00000450894,ENSP00000451500</t>
  </si>
  <si>
    <t>NM_013349,NR_026598</t>
  </si>
  <si>
    <t>NP_037481.1,-</t>
  </si>
  <si>
    <t>ENST00000366988,ENST00000479589,ENST00000473900,ENST00000472389</t>
  </si>
  <si>
    <t>NM_182739,NM_001199987,NM_002493</t>
  </si>
  <si>
    <t>NP_877416.1,NP_001186916.1,NP_002484.1</t>
  </si>
  <si>
    <t>ENST00000379847,ENST00000350021,ENST00000366466</t>
  </si>
  <si>
    <t>ENSP00000369176,ENSP00000297983,ENSP00000482941</t>
  </si>
  <si>
    <t>NM_001040438,NM_001040437</t>
  </si>
  <si>
    <t>NP_001035528.1,NP_001035527.1</t>
  </si>
  <si>
    <t>ENST00000424962,ENST00000456268,ENST00000435938,ENST00000433752,ENST00000458514,ENST00000430690,ENST00000436558,ENST00000456690,ENST00000439907,ENST00000549426</t>
  </si>
  <si>
    <t>ENSP00000415206,ENSP00000388587,ENSP00000395285,ENSP00000408391,ENSP00000405706,ENSP00000408280,ENSP00000388964,ENSP00000414926,ENSP00000387656,ENSP00000449901</t>
  </si>
  <si>
    <t>Homo sapiens splicing factor 3b, subunit 5, 10kDa (SF3B5)</t>
  </si>
  <si>
    <t>Homo sapiens alkB, alkylation repair homolog 7 (E. coli)</t>
  </si>
  <si>
    <t>ENST00000245812,ENST00000596657,ENST00000599849</t>
  </si>
  <si>
    <t>ENSP00000245812,ENSP00000470542,ENSP00000470562</t>
  </si>
  <si>
    <t>ENST00000560708,ENST00000325844,ENST00000559125,ENST00000557974,ENST00000559323,ENST00000560850,ENST00000353598,ENST00000558406,ENST00000559557,ENST00000558548,ENST00000561262</t>
  </si>
  <si>
    <t>ENSP00000453116,ENSP00000317376,ENSP00000318054</t>
  </si>
  <si>
    <t>NM_001012516,NM_001012514,NM_030926</t>
  </si>
  <si>
    <t>NP_001012534.1,NP_001012532.1,NP_112188.1</t>
  </si>
  <si>
    <t>ENST00000457215,ENST00000541852,ENST00000326427,ENST00000335005,ENST00000326407,ENST00000543957,ENST00000409704,ENST00000418408,ENST00000492029,ENST00000620962</t>
  </si>
  <si>
    <t>ENSP00000390655,ENSP00000440295,ENSP00000322730,ENSP00000335121,ENSP00000322100,ENSP00000444899,ENSP00000387242,ENSP00000403257,ENSP00000480137</t>
  </si>
  <si>
    <t>Homo sapiens SIVA1, apoptosis-inducing factor (SIVA1)</t>
  </si>
  <si>
    <t>NM_006427,NM_021709</t>
  </si>
  <si>
    <t>NP_006418.2,NP_068355.1</t>
  </si>
  <si>
    <t>ENST00000329967,ENST00000535554,ENST00000347067,ENST00000553810,ENST00000553819,ENST00000554013,ENST00000556431,ENST00000556195</t>
  </si>
  <si>
    <t>ENSP00000329213,ENSP00000485991,ENSP00000329447,ENSP00000451570,ENSP00000451427,ENSP00000451823</t>
  </si>
  <si>
    <t>NM_001037281,NM_016948</t>
  </si>
  <si>
    <t>NP_001032358.1,NP_058644.1</t>
  </si>
  <si>
    <t>ENST00000602551,ENST00000458121,ENST00000219255,ENST00000602727</t>
  </si>
  <si>
    <t>ENSP00000473257,ENSP00000392388,ENSP00000219255</t>
  </si>
  <si>
    <t>ENST00000594325,ENST00000596360,ENST00000392386,ENST00000597131,ENST00000593286</t>
  </si>
  <si>
    <t>ENSP00000376188,ENSP00000470625</t>
  </si>
  <si>
    <t>Homo sapiens myosin, heavy chain 14, non-muscle (MYH14)</t>
  </si>
  <si>
    <t>NM_001145809,NM_001077186,NM_024729</t>
  </si>
  <si>
    <t>NP_001139281.1,NP_001070654.1,NP_079005.3</t>
  </si>
  <si>
    <t>ENST00000598205,ENST00000599920,ENST00000601313,ENST00000596571,ENST00000595016,ENST00000597072,ENST00000425460,ENST00000376970,ENST00000262269,ENST00000440075</t>
  </si>
  <si>
    <t>ENSP00000472543,ENSP00000469573,ENSP00000470298,ENSP00000472819,ENSP00000407879,ENSP00000366169,ENSP00000262269,ENSP00000406273</t>
  </si>
  <si>
    <t>NM_001167594,NM_001127695,NM_000308</t>
  </si>
  <si>
    <t>NP_001161066.1,NP_001121167.1,NP_000299.2</t>
  </si>
  <si>
    <t>ENST00000606788,ENST00000372484,ENST00000606394,ENST00000354880,ENST00000607841,ENST00000606066,ENST00000191018,ENST00000607814,ENST00000607212,ENST00000607482,ENST00000372459,ENST00000485627,ENST00000606782,ENST00000419493,ENST00000493522,ENST00000480961,ENST00000484855,ENST00000607187,ENST00000606000</t>
  </si>
  <si>
    <t>ENSP00000476235,ENSP00000361562,ENSP00000475827,ENSP00000346952,ENSP00000191018,ENSP00000475524,ENSP00000361537,ENSP00000408533</t>
  </si>
  <si>
    <t>ENST00000252804,ENST00000493654,ENST00000478155,ENST00000453308,ENST00000477093,ENST00000493779,ENST00000465809,ENST00000433670,ENST00000467191,ENST00000483018,ENST00000477810,ENST00000447941,ENST00000425171,ENST00000485177</t>
  </si>
  <si>
    <t>ENSP00000252804,ENSP00000414098,ENSP00000402738,ENSP00000408701,ENSP00000398363</t>
  </si>
  <si>
    <t>ENST00000373896,ENST00000487555,ENST00000462229,ENST00000464712,ENST00000467266,ENST00000453868,ENST00000474402,ENST00000478371,ENST00000439674,ENST00000436309,ENST00000312189,ENST00000456291,ENST00000616568,ENST00000419155</t>
  </si>
  <si>
    <t>ENSP00000363003,ENSP00000395938,ENSP00000404655,ENSP00000408479,ENSP00000310372,ENSP00000397935,ENSP00000483946,ENSP00000407433</t>
  </si>
  <si>
    <t>Homo sapiens histone cluster 1, H2ae (HIST1H2AE)</t>
  </si>
  <si>
    <t>ENST00000557408,ENST00000555338,ENST00000556514,ENST00000555588,ENST00000554766,ENST00000554346,ENST00000298351,ENST00000557504</t>
  </si>
  <si>
    <t>ENSP00000450879,ENSP00000451398,ENSP00000451404,ENSP00000451842,ENSP00000451237,ENSP00000298351</t>
  </si>
  <si>
    <t>ENST00000301019,ENST00000562747,ENST00000569140</t>
  </si>
  <si>
    <t>ENSP00000301019,ENSP00000456926</t>
  </si>
  <si>
    <t>ENST00000272223,ENST00000487581,ENST00000498844</t>
  </si>
  <si>
    <t>Homo sapiens family with sequence similarity 92, member B (FAM92B)</t>
  </si>
  <si>
    <t>ENST00000539556,ENST00000618669,ENST00000629253</t>
  </si>
  <si>
    <t>ENSP00000443411,ENSP00000478373,ENSP00000487117</t>
  </si>
  <si>
    <t>ENST00000371021,ENST00000490980</t>
  </si>
  <si>
    <t>NM_001242702,NM_173576</t>
  </si>
  <si>
    <t>NP_001229631.1,NP_775847.2</t>
  </si>
  <si>
    <t>ENST00000375790,ENST00000460919,ENST00000561227,ENST00000419761</t>
  </si>
  <si>
    <t>ENSP00000364946,ENSP00000452751,ENSP00000453746,ENSP00000400896</t>
  </si>
  <si>
    <t>Homo sapiens solute carrier family 45, member 1 (SLC45A1)</t>
  </si>
  <si>
    <t>ENST00000471889,ENST00000497660,ENST00000481265,ENST00000289877</t>
  </si>
  <si>
    <t>ENSP00000418096,ENSP00000289877</t>
  </si>
  <si>
    <t>ENST00000368255,ENST00000368253,ENST00000470342,ENST00000368254,ENST00000481479,ENST00000368252,ENST00000466306,ENST00000368251</t>
  </si>
  <si>
    <t>ENSP00000357238,ENSP00000357236,ENSP00000477074,ENSP00000357237,ENSP00000476780,ENSP00000357235,ENSP00000477010,ENSP00000357234</t>
  </si>
  <si>
    <t>ENST00000300875,ENST00000391916,ENST00000410105</t>
  </si>
  <si>
    <t>ENSP00000300875,ENSP00000375783,ENSP00000387300</t>
  </si>
  <si>
    <t>ENST00000372264,ENST00000372261</t>
  </si>
  <si>
    <t>ENSP00000361338,ENSP00000361335</t>
  </si>
  <si>
    <t>ENST00000407847,ENST00000434521,ENST00000464424,ENST00000427739</t>
  </si>
  <si>
    <t>ENSP00000384725,ENSP00000390919</t>
  </si>
  <si>
    <t>ENST00000356698,ENST00000368317,ENST00000485757</t>
  </si>
  <si>
    <t>ENSP00000349131,ENSP00000357300</t>
  </si>
  <si>
    <t>Homo sapiens family with sequence similarity 50, member B (FAM50B)</t>
  </si>
  <si>
    <t>ENST00000380274,ENST00000380272</t>
  </si>
  <si>
    <t>ENSP00000369627,ENSP00000369625</t>
  </si>
  <si>
    <t>ENST00000539393,ENST00000240652,ENST00000542023,ENST00000537593,ENST00000535428</t>
  </si>
  <si>
    <t>ENSP00000437357,ENSP00000240652,ENSP00000445711,ENSP00000445980,ENSP00000437559</t>
  </si>
  <si>
    <t>Homo sapiens family with sequence similarity 78, member A (FAM78A)</t>
  </si>
  <si>
    <t>ENST00000247295,ENST00000372269,ENST00000372271,ENST00000464831</t>
  </si>
  <si>
    <t>ENSP00000361343,ENSP00000361345,ENSP00000419959</t>
  </si>
  <si>
    <t>ENST00000270824,ENST00000490466</t>
  </si>
  <si>
    <t>Homo sapiens fatty acid binding protein 6, ileal (FABP6)</t>
  </si>
  <si>
    <t>NM_001130958,NM_001040442,NM_001445</t>
  </si>
  <si>
    <t>NP_001124430.1,NP_001035532.1,NP_001436.1</t>
  </si>
  <si>
    <t>ENST00000393980,ENST00000523955,ENST00000402432,ENST00000521362</t>
  </si>
  <si>
    <t>ENSP00000377549,ENSP00000428766,ENSP00000385433</t>
  </si>
  <si>
    <t>ENST00000296600,ENST00000504912,ENST00000505843,ENST00000514925</t>
  </si>
  <si>
    <t>ENSP00000296600,ENSP00000422285,ENSP00000424794</t>
  </si>
  <si>
    <t>ENST00000222032,ENST00000597255</t>
  </si>
  <si>
    <t>ENSP00000222032,ENSP00000469590</t>
  </si>
  <si>
    <t>Homo sapiens phospholipase A2, group IVE (PLA2G4E)</t>
  </si>
  <si>
    <t>ENST00000399518,ENST00000547930,ENST00000551073</t>
  </si>
  <si>
    <t>ENST00000421939,ENST00000373264,ENST00000480353,ENST00000491521,ENST00000498339</t>
  </si>
  <si>
    <t>ENSP00000395872,ENSP00000362361</t>
  </si>
  <si>
    <t>Homo sapiens FK506 binding protein 6, 36kDa (FKBP6)</t>
  </si>
  <si>
    <t>NM_001135211,NM_003602</t>
  </si>
  <si>
    <t>NP_001128683.1,NP_003593.3</t>
  </si>
  <si>
    <t>ENST00000431982,ENST00000442793,ENST00000413573,ENST00000445032,ENST00000429879,ENST00000437013,ENST00000252037</t>
  </si>
  <si>
    <t>ENSP00000416277,ENSP00000402360,ENSP00000394952,ENSP00000415891,ENSP00000403908,ENSP00000252037</t>
  </si>
  <si>
    <t>Homo sapiens cytochrome P450, family 26, subfamily A, polypeptide 1 (CYP26A1)</t>
  </si>
  <si>
    <t>NM_057157,NM_000783</t>
  </si>
  <si>
    <t>NP_476498.1,NP_000774.2</t>
  </si>
  <si>
    <t>ENST00000371531,ENST00000224356,ENST00000622925,ENST00000624589,ENST00000623162,ENST00000625202</t>
  </si>
  <si>
    <t>ENSP00000360586,ENSP00000224356,ENSP00000485126</t>
  </si>
  <si>
    <t>ENST00000381894,ENST00000429036,ENST00000481747</t>
  </si>
  <si>
    <t>ENSP00000371318,ENSP00000400552</t>
  </si>
  <si>
    <t>ENST00000285379,ENST00000520127,ENST00000520996,ENST00000518231,ENST00000522742</t>
  </si>
  <si>
    <t>ENSP00000285379,ENSP00000428443,ENSP00000428947</t>
  </si>
  <si>
    <t>NM_138994,NM_033401</t>
  </si>
  <si>
    <t>NP_620481.2,NP_207837.2</t>
  </si>
  <si>
    <t>ENST00000611870,ENST00000622250,ENST00000471618,ENST00000463177,ENST00000478060,ENST00000476707,ENST00000619533,ENST00000307431,ENST00000377504</t>
  </si>
  <si>
    <t>ENSP00000479811,ENSP00000477698,ENSP00000418741,ENSP00000417628,ENSP00000306893,ENSP00000439733</t>
  </si>
  <si>
    <t>ENST00000261326,ENST00000588132</t>
  </si>
  <si>
    <t>ENST00000218104,ENST00000370129,ENST00000443684</t>
  </si>
  <si>
    <t>ENSP00000218104,ENSP00000359147</t>
  </si>
  <si>
    <t>ENST00000297873,ENST00000458679,ENST00000493174</t>
  </si>
  <si>
    <t>ENSP00000297873,ENSP00000398533</t>
  </si>
  <si>
    <t>NM_182749,NM_013240,NR_047510</t>
  </si>
  <si>
    <t>NP_877426.4,NP_037372.4,-</t>
  </si>
  <si>
    <t>ENST00000303775,ENST00000351429,ENST00000460212</t>
  </si>
  <si>
    <t>ENSP00000303584,ENSP00000286764,ENSP00000436490</t>
  </si>
  <si>
    <t>NM_001185012,NM_002488,NR_033697</t>
  </si>
  <si>
    <t>NP_001171941.1,NP_002479.1,-</t>
  </si>
  <si>
    <t>ENST00000510680,ENST00000252102,ENST00000512088,ENST00000502960</t>
  </si>
  <si>
    <t>ENSP00000252102,ENSP00000427220</t>
  </si>
  <si>
    <t>Homo sapiens taste receptor, type 2, member 1 (TAS2R1)</t>
  </si>
  <si>
    <t>ENST00000382492,ENST00000514078,ENST00000506620</t>
  </si>
  <si>
    <t>ENSP00000371932,ENSP00000476190,ENSP00000475387</t>
  </si>
  <si>
    <t>ENST00000240328,ENST00000419047,ENST00000477081,ENST00000586986</t>
  </si>
  <si>
    <t>ENSP00000240328,ENSP00000404781</t>
  </si>
  <si>
    <t>Homo sapiens diablo, IAP-binding mitochondrial protein (DIABLO)</t>
  </si>
  <si>
    <t>ENST00000353548,ENST00000443649,ENST00000464942,ENST00000342392,ENST00000267169,ENST00000439489,ENST00000541273,ENST00000474004,ENST00000540535,ENST00000541656,ENST00000446652,ENST00000489781,ENST00000485724,ENST00000475784,ENST00000413918</t>
  </si>
  <si>
    <t>ENSP00000320343,ENSP00000398495,ENSP00000442360,ENSP00000339963,ENSP00000267169,ENSP00000390818,ENSP00000440971,ENSP00000442669,ENSP00000441139,ENSP00000440653,ENSP00000390103,ENSP00000438710,ENSP00000411638</t>
  </si>
  <si>
    <t>ENST00000251630,ENST00000523248,ENST00000541323</t>
  </si>
  <si>
    <t>ENSP00000251630,ENSP00000444211</t>
  </si>
  <si>
    <t>ENST00000496248,ENST00000560281,ENST00000491706,ENST00000272369,ENST00000488550,ENST00000490726,ENST00000398506,ENST00000495021,ENST00000409622,ENST00000437869,ENST00000466811,ENST00000498705,ENST00000606455,ENST00000475239,ENST00000409517,ENST00000542964,ENST00000450027</t>
  </si>
  <si>
    <t>ENSP00000454209,ENSP00000272369,ENSP00000475161,ENSP00000381518,ENSP00000440571,ENSP00000397418</t>
  </si>
  <si>
    <t>Homo sapiens cat eye syndrome chromosome region, candidate 1 (CECR1)</t>
  </si>
  <si>
    <t>ENST00000399839,ENST00000330232,ENST00000262607,ENST00000469063,ENST00000480276,ENST00000543038,ENST00000441548,ENST00000449907,ENST00000610390,ENST00000399837</t>
  </si>
  <si>
    <t>ENSP00000382733,ENSP00000332871,ENSP00000262607,ENSP00000442482,ENSP00000392078,ENSP00000406443,ENSP00000483418,ENSP00000382731</t>
  </si>
  <si>
    <t>NM_001037811,NM_004493</t>
  </si>
  <si>
    <t>NP_001032900.1,NP_004484.1</t>
  </si>
  <si>
    <t>ENST00000477706,ENST00000375304,ENST00000168216,ENST00000375298,ENST00000495986</t>
  </si>
  <si>
    <t>ENSP00000364453,ENSP00000168216,ENSP00000364447</t>
  </si>
  <si>
    <t>Homo sapiens ubiquitously-expressed, prefoldin-like chaperone (UXT)</t>
  </si>
  <si>
    <t>NR_045559,NM_153477</t>
  </si>
  <si>
    <t>-,NP_705582.1</t>
  </si>
  <si>
    <t>ENST00000333119,ENST00000460840,ENST00000485641,ENST00000335890,ENST00000376964</t>
  </si>
  <si>
    <t>ENSP00000327797,ENSP00000473785,ENSP00000337393</t>
  </si>
  <si>
    <t>NM_001160001,NM_001159999,NM_001159996,NM_001159995,NM_013957,NM_013956,NM_013964,NM_013960,NM_001160004</t>
  </si>
  <si>
    <t>NP_001153473.1,NP_001153471.1,NP_001153468.1,NP_001153467.1,NP_039251.2,NP_039250.2,NP_039258.1,NP_039254.1,NP_001153476.1</t>
  </si>
  <si>
    <t>ENST00000518104,ENST00000519301,ENST00000520407,ENST00000523534,ENST00000517967,ENST00000523320,ENST00000631040,ENST00000523079,ENST00000356819,ENST00000521670,ENST00000287842,ENST00000405005,ENST00000518206,ENST00000522569,ENST00000520502,ENST00000523041,ENST00000518084,ENST00000522402,ENST00000519240,ENST00000523681,ENST00000539990,ENST00000614767</t>
  </si>
  <si>
    <t>ENSP00000430053,ENSP00000429582,ENSP00000434640,ENSP00000429067,ENSP00000486375,ENSP00000430120,ENSP00000349275,ENSP00000428828,ENSP00000287842,ENSP00000384620,ENSP00000432052,ENSP00000433289,ENSP00000433350,ENSP00000428546,ENSP00000430862,ENSP00000428411,ENSP00000439276,ENSP00000483727</t>
  </si>
  <si>
    <t>NM_139316,NM_001635</t>
  </si>
  <si>
    <t>NP_647477.1,NP_001626.1</t>
  </si>
  <si>
    <t>ENST00000325590,ENST00000356264,ENST00000441628,ENST00000460887,ENST00000475581,ENST00000471913,ENST00000467580,ENST00000450124,ENST00000462072</t>
  </si>
  <si>
    <t>ENSP00000317441,ENSP00000348602,ENSP00000415085,ENSP00000400404</t>
  </si>
  <si>
    <t>Homo sapiens metastasis associated 1 family, member 2 (MTA2)</t>
  </si>
  <si>
    <t>ENST00000278823,ENST00000524902,ENST00000527204,ENST00000531179,ENST00000531261,ENST00000526844,ENST00000532239</t>
  </si>
  <si>
    <t>ENSP00000278823,ENSP00000431346,ENSP00000431797</t>
  </si>
  <si>
    <t>ENST00000268379,ENST00000565464,ENST00000567757,ENST00000561553,ENST00000565331,ENST00000563898,ENST00000564095,ENST00000618892,ENST00000567597,ENST00000563711,ENST00000567810,ENST00000561798,ENST00000630839</t>
  </si>
  <si>
    <t>ENSP00000268379,ENSP00000457662,ENSP00000456232,ENSP00000455088,ENSP00000456738,ENSP00000457600,ENSP00000479799,ENSP00000485966</t>
  </si>
  <si>
    <t>Homo sapiens serpin peptidase inhibitor, clade F (alpha-2 antiplasmin, pigment epithelium derived factor)</t>
  </si>
  <si>
    <t>ENST00000254722,ENST00000571360,ENST00000571870,ENST00000573770,ENST00000576406,ENST00000571149,ENST00000570731,ENST00000577053,ENST00000570820,ENST00000572048,ENST00000573763,ENST00000572517</t>
  </si>
  <si>
    <t>ENSP00000254722,ENSP00000461660,ENSP00000459107,ENSP00000461214,ENSP00000460905,ENSP00000459869,ENSP00000460842,ENSP00000458484,ENSP00000461405</t>
  </si>
  <si>
    <t>ENST00000371649,ENST00000224073,ENST00000371648</t>
  </si>
  <si>
    <t>ENSP00000360712,ENSP00000224073,ENSP00000360711</t>
  </si>
  <si>
    <t>ENST00000338909,ENST00000374434,ENST00000448831,ENST00000475306</t>
  </si>
  <si>
    <t>ENSP00000342689,ENSP00000363557</t>
  </si>
  <si>
    <t>NM_001048164,NM_032803</t>
  </si>
  <si>
    <t>NP_001041629.1,NP_116192.4</t>
  </si>
  <si>
    <t>ENST00000374299,ENST00000298085</t>
  </si>
  <si>
    <t>ENSP00000363417,ENSP00000298085</t>
  </si>
  <si>
    <t>NM_001198950,NM_015011</t>
  </si>
  <si>
    <t>NP_001185879.1,NP_055826.1</t>
  </si>
  <si>
    <t>ENST00000251041,ENST00000357550,ENST00000467639,ENST00000375857,ENST00000482793,ENST00000356711,ENST00000457511</t>
  </si>
  <si>
    <t>ENSP00000251041,ENSP00000350160,ENSP00000349145,ENSP00000401633</t>
  </si>
  <si>
    <t>NM_007320,NM_003624,NM_007322</t>
  </si>
  <si>
    <t>NP_015559.2,NP_003615.2,NP_015561.1</t>
  </si>
  <si>
    <t>ENST00000439268,ENST00000340578,ENST00000592771,ENST00000586344,ENST00000591092,ENST00000034275,ENST00000587479,ENST00000592197,ENST00000587411,ENST00000592621,ENST00000587799,ENST00000590623,ENST00000591736,ENST00000593025,ENST00000590953,ENST00000588879,ENST00000587159,ENST00000586117,ENST00000589353,ENST00000587463,ENST00000588010,ENST00000585339,ENST00000591124,ENST00000592133,ENST00000591881,ENST00000589886,ENST00000587263,ENST00000587956,ENST00000591333,ENST00000592266</t>
  </si>
  <si>
    <t>ENSP00000404837,ENSP00000341483,ENSP00000466879,ENSP00000465085,ENSP00000034275,ENSP00000464774,ENSP00000468815,ENSP00000466510,ENSP00000466761,ENSP00000468211,ENSP00000466970,ENSP00000464705,ENSP00000467760,ENSP00000464986,ENSP00000467560,ENSP00000466638</t>
  </si>
  <si>
    <t>NM_001136131,NM_001136016,NM_201414,NM_201413,NM_000484,NM_001136129,NM_001136130,NM_001204303,NM_001204302,NM_001204301</t>
  </si>
  <si>
    <t>NP_001129603.1,NP_001129488.1,NP_958817.1,NP_958816.1,NP_000475.1,NP_001129601.1,NP_001129602.1,NP_001191232.1,NP_001191231.1,NP_001191230.1</t>
  </si>
  <si>
    <t>ENST00000346798,ENST00000354192,ENST00000348990,ENST00000357903,ENST00000440126,ENST00000439274,ENST00000464867,ENST00000358918,ENST00000448850,ENST00000415997,ENST00000491395,ENST00000474136,ENST00000463070,ENST00000548570,ENST00000462267,ENST00000466453,ENST00000359726</t>
  </si>
  <si>
    <t>ENSP00000284981,ENSP00000346129,ENSP00000345463,ENSP00000350578,ENSP00000387483,ENSP00000398879,ENSP00000351796,ENSP00000396923,ENSP00000406539,ENSP00000352760</t>
  </si>
  <si>
    <t>NM_000973,NM_033301</t>
  </si>
  <si>
    <t>NP_000964.1,NP_150644.1</t>
  </si>
  <si>
    <t>ENST00000534781,ENST00000531975,ENST00000529163,ENST00000526668,ENST00000528296,ENST00000394920,ENST00000527914,ENST00000262584,ENST00000528957,ENST00000529920,ENST00000533397,ENST00000532702,ENST00000525232,ENST00000531767</t>
  </si>
  <si>
    <t>ENSP00000437062,ENSP00000378378,ENSP00000436460,ENSP00000262584,ENSP00000433464,ENSP00000433703,ENSP00000435313,ENSP00000434535</t>
  </si>
  <si>
    <t>Homo sapiens collagen, type X, alpha 1 (COL10A1)</t>
  </si>
  <si>
    <t>ENST00000327673,ENST00000452729,ENST00000418500,ENST00000243222</t>
  </si>
  <si>
    <t>ENSP00000327368,ENSP00000411285,ENSP00000392712,ENSP00000243222</t>
  </si>
  <si>
    <t>Homo sapiens RAB20, member RAS oncogene family (RAB20)</t>
  </si>
  <si>
    <t>Homo sapiens histone cluster 1, H2bd (HIST1H2BD)</t>
  </si>
  <si>
    <t>ENST00000377777,ENST00000289316</t>
  </si>
  <si>
    <t>ENSP00000367008,ENSP00000289316</t>
  </si>
  <si>
    <t>ENST00000372837,ENST00000372833</t>
  </si>
  <si>
    <t>ENSP00000361928,ENSP00000361923</t>
  </si>
  <si>
    <t>NM_001145364,NM_148913,NM_148912,NR_026912,NR_026910</t>
  </si>
  <si>
    <t>NP_001138836.1,NP_683711.1,NP_683710.1,-,-</t>
  </si>
  <si>
    <t>ENST00000497897,ENST00000437775,ENST00000357419,ENST00000222800,ENST00000458339,ENST00000412965,ENST00000395147,ENST00000437891,ENST00000486114,ENST00000462381,ENST00000474130,ENST00000468331,ENST00000480445,ENST00000468998</t>
  </si>
  <si>
    <t>ENSP00000416970,ENSP00000392945,ENSP00000222800,ENSP00000397666,ENSP00000387908,ENSP00000378579,ENSP00000410536,ENSP00000430937</t>
  </si>
  <si>
    <t>ENST00000344843,ENST00000493287,ENST00000487659,ENST00000492508,ENST00000482352,ENST00000477686</t>
  </si>
  <si>
    <t>ENSP00000341082,ENSP00000459994,ENSP00000460924</t>
  </si>
  <si>
    <t>ENST00000320634,ENST00000550890,ENST00000550195,ENST00000552669,ENST00000552863,ENST00000550635,ENST00000547871</t>
  </si>
  <si>
    <t>ENSP00000321951,ENSP00000450132,ENSP00000447715,ENSP00000446771,ENSP00000449957,ENSP00000449711,ENSP00000449360</t>
  </si>
  <si>
    <t>NM_001199119|NM_024839,NM_001199120,NM_001199121</t>
  </si>
  <si>
    <t>NP_001186048.1|NP_079115.1,NP_001186049.1,NP_001186050.1</t>
  </si>
  <si>
    <t>ENST00000552520|ENST00000430819,ENST00000467113,ENST00000478784,ENST00000498637,ENST00000490158,ENST00000492100,ENST00000414187,ENST00000452262,ENST00000439797</t>
  </si>
  <si>
    <t>ENSP00000448462|ENSP00000416194,ENSP00000398396,ENSP00000388494,ENSP00000405448</t>
  </si>
  <si>
    <t>ENST00000468441,ENST00000495222,ENST00000235532,ENST00000356637,ENST00000471369,ENST00000433045,ENST00000445843,ENST00000475160,ENST00000525869,ENST00000528112,ENST00000354267,ENST00000524789</t>
  </si>
  <si>
    <t>ENSP00000426981,ENSP00000235532,ENSP00000349052,ENSP00000390820,ENSP00000396417,ENSP00000346216,ENSP00000434268</t>
  </si>
  <si>
    <t>ENST00000498603,ENST00000223641,ENST00000481573</t>
  </si>
  <si>
    <t>ENSP00000474122,ENSP00000223641</t>
  </si>
  <si>
    <t>ENST00000360375,ENST00000522567,ENST00000523669,ENST00000517875,ENST00000522770,ENST00000414626</t>
  </si>
  <si>
    <t>ENSP00000353538,ENSP00000428794,ENSP00000430878,ENSP00000430960,ENSP00000428506,ENSP00000394695</t>
  </si>
  <si>
    <t>ENST00000375078,ENST00000489020</t>
  </si>
  <si>
    <t>ENST00000268668,ENST00000543683,ENST00000565031,ENST00000569148,ENST00000570172</t>
  </si>
  <si>
    <t>ENSP00000268668,ENSP00000445086,ENSP00000455348,ENSP00000457908</t>
  </si>
  <si>
    <t>Homo sapiens armadillo repeat containing, X-linked 4 (ARMCX4)</t>
  </si>
  <si>
    <t>ENST00000433011,ENST00000430461,ENST00000453574,ENST00000431677,ENST00000445416,ENST00000452188,ENST00000455331,ENST00000442270,ENST00000354842,ENST00000423738</t>
  </si>
  <si>
    <t>ENSP00000424452,ENSP00000422573,ENSP00000425302,ENSP00000423440,ENSP00000426585,ENSP00000423927,ENSP00000404304</t>
  </si>
  <si>
    <t>Homo sapiens T-box, brain, 1 (TBR1)</t>
  </si>
  <si>
    <t>ENST00000389554,ENST00000463544,ENST00000411412,ENST00000410035,ENST00000477804,ENST00000489530</t>
  </si>
  <si>
    <t>ENSP00000374205,ENSP00000393934,ENSP00000387023</t>
  </si>
  <si>
    <t>NM_001171991,NM_005333,NM_001122608</t>
  </si>
  <si>
    <t>NP_001165462.1,NP_005324.3,NP_001116080.1</t>
  </si>
  <si>
    <t>ENST00000321143,ENST00000380763,ENST00000380762</t>
  </si>
  <si>
    <t>ENSP00000326579,ENSP00000370140,ENSP00000370139</t>
  </si>
  <si>
    <t>Homo sapiens tumor necrosis factor receptor superfamily, member 18 (TNFRSF18)</t>
  </si>
  <si>
    <t>NM_148901,NM_148902,NM_004195</t>
  </si>
  <si>
    <t>NP_683699.1,NP_683700.1,NP_004186.1</t>
  </si>
  <si>
    <t>ENST00000328596,ENST00000379268,ENST00000486728,ENST00000379265</t>
  </si>
  <si>
    <t>ENSP00000328207,ENSP00000368570,ENSP00000462735,ENSP00000368567</t>
  </si>
  <si>
    <t>ENST00000292614,ENST00000393794</t>
  </si>
  <si>
    <t>ENSP00000292614,ENSP00000377383</t>
  </si>
  <si>
    <t>NM_001199823|NM_001199822,NM_138476</t>
  </si>
  <si>
    <t>NP_001186752.1|NP_001186751.1,NP_612485.2</t>
  </si>
  <si>
    <t>ENST00000288087,ENST00000530222,ENST00000396833,ENST00000532557,ENST00000531553,ENST00000525696,ENST00000533536,ENST00000532742,ENST00000528849,ENST00000466422</t>
  </si>
  <si>
    <t>ENSP00000288087,ENSP00000380045</t>
  </si>
  <si>
    <t>NM_138466,NR_049780</t>
  </si>
  <si>
    <t>NP_612475.1,-</t>
  </si>
  <si>
    <t>ENST00000427624,ENST00000597582</t>
  </si>
  <si>
    <t>ENSP00000405699,ENSP00000471478</t>
  </si>
  <si>
    <t>NM_001242340,NM_001130957,NM_173807</t>
  </si>
  <si>
    <t>NP_001229269.1,NP_001124429.1,NP_776168.1</t>
  </si>
  <si>
    <t>ENST00000473875,ENST00000460986,ENST00000366534,ENST00000366533,ENST00000478554,ENST00000428042,ENST00000464170,ENST00000485888,ENST00000487449,ENST00000366531</t>
  </si>
  <si>
    <t>ENSP00000355492,ENSP00000355491,ENSP00000395796,ENSP00000355489</t>
  </si>
  <si>
    <t>XR_171215,XR_108348</t>
  </si>
  <si>
    <t>ENST00000184266,ENST00000485064,ENST00000492739,ENST00000461682,ENST00000491335,ENST00000496588</t>
  </si>
  <si>
    <t>ENSP00000184266,ENSP00000419578,ENSP00000419128,ENSP00000417714,ENSP00000417755</t>
  </si>
  <si>
    <t>ENST00000585462,ENST00000591399,ENST00000587642,ENST00000591831,ENST00000590221,ENST00000586257,ENST00000588373,ENST00000433525,ENST00000589236,ENST00000416574,ENST00000589642,ENST00000587374,ENST00000593002,ENST00000589241,ENST00000590450,ENST00000589834,ENST00000592802,ENST00000254806,ENST00000626827</t>
  </si>
  <si>
    <t>ENSP00000467583,ENSP00000467579,ENSP00000466999,ENSP00000466450,ENSP00000464782,ENSP00000465052,ENSP00000415251,ENSP00000468793,ENSP00000464820,ENSP00000464768,ENSP00000254806,ENSP00000486675</t>
  </si>
  <si>
    <t>ENST00000391759,ENST00000391758,ENST00000420715,ENST00000391757</t>
  </si>
  <si>
    <t>ENSP00000375639,ENSP00000375638,ENSP00000395180,ENSP00000375637</t>
  </si>
  <si>
    <t>ENST00000442551,ENST00000370873,ENST00000484488,ENST00000370861,ENST00000486193,ENST00000370858</t>
  </si>
  <si>
    <t>ENSP00000397047,ENSP00000359910,ENSP00000359898,ENSP00000359895</t>
  </si>
  <si>
    <t>ENST00000295727,ENST00000470119</t>
  </si>
  <si>
    <t>Homo sapiens ATP synthase, H+ transporting, mitochondrial Fo complex, subunit F2 (ATP5J2)</t>
  </si>
  <si>
    <t>NM_001003714,NM_001003713,NM_001039178,NM_004889</t>
  </si>
  <si>
    <t>NP_001003714.1,NP_001003713.1,NP_001034267.1,NP_004880.1</t>
  </si>
  <si>
    <t>ENST00000466753,ENST00000414062,ENST00000449683,ENST00000491560,ENST00000359832,ENST00000292475,ENST00000488775,ENST00000394186,ENST00000481899,ENST00000523680,ENST00000485011,ENST00000524321</t>
  </si>
  <si>
    <t>ENSP00000412149,ENSP00000407540,ENSP00000352890,ENSP00000292475,ENSP00000418197,ENSP00000377740,ENSP00000430398</t>
  </si>
  <si>
    <t>NM_001098791,NM_001098790,NM_021242</t>
  </si>
  <si>
    <t>NP_001092261.1,NP_001092260.1,NP_067065.1</t>
  </si>
  <si>
    <t>ENST00000378474,ENST00000336949,ENST00000614558,ENST00000457894</t>
  </si>
  <si>
    <t>ENSP00000367735,ENSP00000338706,ENSP00000483547,ENSP00000416670</t>
  </si>
  <si>
    <t>NM_012266,NM_001135005,NM_001135004</t>
  </si>
  <si>
    <t>NP_036398.3,NP_001128477.1,NP_001128476.2</t>
  </si>
  <si>
    <t>ENST00000453597,ENST00000312316,ENST00000458263,ENST00000537321,ENST00000469798,ENST00000541010,ENST00000454002,ENST00000545841,ENST00000539059,ENST00000443266</t>
  </si>
  <si>
    <t>ENSP00000404079,ENSP00000312517,ENSP00000393749,ENSP00000439217,ENSP00000433640,ENSP00000443151,ENSP00000413684,ENSP00000441999,ENSP00000445536,ENSP00000396332</t>
  </si>
  <si>
    <t>ENST00000394340,ENST00000436835,ENST00000489314,ENST00000408936,ENST00000465078,ENST00000373782,ENST00000309989,ENST00000487716,ENST00000459906,ENST00000259371</t>
  </si>
  <si>
    <t>ENSP00000377872,ENSP00000409327,ENSP00000386183,ENSP00000362887,ENSP00000310827,ENSP00000259371</t>
  </si>
  <si>
    <t>NM_138355,NM_001145023</t>
  </si>
  <si>
    <t>NP_612364.2,NP_001138495.1</t>
  </si>
  <si>
    <t>ENST00000407215,ENST00000290216,ENST00000584123,ENST00000581645,ENST00000584567,ENST00000582459,ENST00000579856,ENST00000583090,ENST00000582656,ENST00000578323,ENST00000581546,ENST00000578840,ENST00000580428</t>
  </si>
  <si>
    <t>ENSP00000383935,ENSP00000290216,ENSP00000463411,ENSP00000464246,ENSP00000463809,ENSP00000462845,ENSP00000462318,ENSP00000464105,ENSP00000464093</t>
  </si>
  <si>
    <t>ENST00000591254,ENST00000592273,ENST00000242784,ENST00000588213,ENST00000589590</t>
  </si>
  <si>
    <t>ENSP00000468415,ENSP00000466801,ENSP00000242784,ENSP00000466196</t>
  </si>
  <si>
    <t>Homo sapiens histone cluster 1, H4e (HIST1H4E)</t>
  </si>
  <si>
    <t>NM_178191,NM_178190,NM_016311</t>
  </si>
  <si>
    <t>NP_835498.1,NP_835497.1,NP_057395.1</t>
  </si>
  <si>
    <t>ENST00000497986,ENST00000335514,ENST00000468425,ENST00000465645</t>
  </si>
  <si>
    <t>ENSP00000435579,ENSP00000335203,ENSP00000435341,ENSP00000437337</t>
  </si>
  <si>
    <t>ENST00000397534,ENST00000211076</t>
  </si>
  <si>
    <t>ENSP00000380668,ENSP00000211076</t>
  </si>
  <si>
    <t>NM_201541,NM_201540,NM_201539,NM_201538,NM_201537,NM_016250,NM_201536,NM_201535</t>
  </si>
  <si>
    <t>NP_963835.1,NP_963834.1,NP_963833.1,NP_963832.1,NP_963831.1,NP_057334.1,NP_963294.1,NP_963293.1</t>
  </si>
  <si>
    <t>ENST00000298687,ENST00000350792,ENST00000556716,ENST00000557633,ENST00000554104,ENST00000555158,ENST00000553503,ENST00000397853,ENST00000360463,ENST00000556147,ENST00000557353,ENST00000554143,ENST00000397851,ENST00000397847,ENST00000298684,ENST00000555650,ENST00000397844,ENST00000403829,ENST00000553593,ENST00000553793,ENST00000556008,ENST00000557416,ENST00000556366,ENST00000556974,ENST00000555026,ENST00000554277,ENST00000553867,ENST00000449431,ENST00000557169,ENST00000555695,ENST00000555869,ENST00000557182,ENST00000555733,ENST00000555384,ENST00000554094,ENST00000366204,ENST00000553741,ENST00000557728,ENST00000553567,ENST00000557305,ENST00000557198,ENST00000553442,ENST00000556420,ENST00000553784,ENST00000557149,ENST00000555142,ENST00000555767,ENST00000554531,ENST00000557264,ENST00000557676,ENST00000556924,ENST00000556329,ENST00000554379,ENST00000554398,ENST00000554472,ENST00000554483,ENST00000555657,ENST00000557616,ENST00000557274,ENST00000556457,ENST00000556688,ENST00000553862,ENST00000557669,ENST00000557113,ENST00000553900,ENST00000557318,ENST00000554561,ENST00000554419,ENST00000553563,ENST00000554489,ENST00000556561,ENST00000554893,ENST00000554833,ENST00000554415,ENST00000557167,ENST00000397858,ENST00000397856</t>
  </si>
  <si>
    <t>ENSP00000298687,ENSP00000344620,ENSP00000450835,ENSP00000452216,ENSP00000452038,ENSP00000452306,ENSP00000380951,ENSP00000353649,ENSP00000451712,ENSP00000450446,ENSP00000452006,ENSP00000380949,ENSP00000380945,ENSP00000298684,ENSP00000380943,ENSP00000385889,ENSP00000452117,ENSP00000451966,ENSP00000452413,ENSP00000452362,ENSP00000451274,ENSP00000450691,ENSP00000397250,ENSP00000452334,ENSP00000451353,ENSP00000451105,ENSP00000450545,ENSP00000452482,ENSP00000451094,ENSP00000452278,ENSP00000450493,ENSP00000451951,ENSP00000451059,ENSP00000452592,ENSP00000450513,ENSP00000452053,ENSP00000451302,ENSP00000451471,ENSP00000452548,ENSP00000450504,ENSP00000452262,ENSP00000450929,ENSP00000451185,ENSP00000451348,ENSP00000451472,ENSP00000452247,ENSP00000451414,ENSP00000452344,ENSP00000450852,ENSP00000451981,ENSP00000451163,ENSP00000452179,ENSP00000451541,ENSP00000452302,ENSP00000450825,ENSP00000450450,ENSP00000452458,ENSP00000452274,ENSP00000380956,ENSP00000380954</t>
  </si>
  <si>
    <t>NM_001199239,NM_033177,NM_001199237,NM_001199240,NM_001199238</t>
  </si>
  <si>
    <t>NP_001186168.1,NP_149417.1,NP_001186166.1,NP_001186169.1,NP_001186167.1</t>
  </si>
  <si>
    <t>ENST00000433880,ENST00000426326,ENST00000453899,ENST00000457505,ENST00000414528,ENST00000424956,ENST00000424195,ENST00000424420,ENST00000418462,ENST00000416364</t>
  </si>
  <si>
    <t>ENSP00000401272,ENSP00000398927,ENSP00000413662,ENSP00000406507,ENSP00000389339,ENSP00000413683,ENSP00000409320,ENSP00000404544,ENSP00000406761,ENSP00000398758</t>
  </si>
  <si>
    <t>Homo sapiens histone cluster 1, H2bk (HIST1H2BK)</t>
  </si>
  <si>
    <t>Homo sapiens potassium channel, voltage gated shaker related subfamily A, member 10 (KCNA10)</t>
  </si>
  <si>
    <t>Homo sapiens histone cluster 1, H4d (HIST1H4D)</t>
  </si>
  <si>
    <t>NM_175063,NM_206538</t>
  </si>
  <si>
    <t>NP_778233.4,NP_996261.1</t>
  </si>
  <si>
    <t>ENST00000601780,ENST00000597426,ENST00000376918,ENST00000334976,ENST00000598585,ENST00000599293,ENST00000597799,ENST00000594508</t>
  </si>
  <si>
    <t>ENSP00000470164,ENSP00000470949,ENSP00000366117,ENSP00000334037,ENSP00000472420,ENSP00000472714,ENSP00000471764</t>
  </si>
  <si>
    <t>NM_001102454,NM_001101672,NM_016423</t>
  </si>
  <si>
    <t>NP_001095924.1,NP_001095142.1,NP_057507.2</t>
  </si>
  <si>
    <t>ENST00000360947,ENST00000451119,ENST00000421093,ENST00000555270,ENST00000554478,ENST00000556174,ENST00000554923,ENST00000553296,ENST00000553980,ENST00000556944,ENST00000555697,ENST00000556101,ENST00000624093</t>
  </si>
  <si>
    <t>ENSP00000354206,ENSP00000388558,ENSP00000392401,ENSP00000450803,ENSP00000451212,ENSP00000450609,ENSP00000451890,ENSP00000450900,ENSP00000451969,ENSP00000451595</t>
  </si>
  <si>
    <t>ENST00000300976,ENST00000595182,ENST00000600657,ENST00000599006,ENST00000595423,ENST00000596843</t>
  </si>
  <si>
    <t>ENSP00000300976,ENSP00000472032,ENSP00000470999,ENSP00000472001,ENSP00000469099</t>
  </si>
  <si>
    <t>ENST00000601680,ENST00000326856,ENST00000596531,ENST00000598239,ENST00000596931,ENST00000602114,ENST00000598673</t>
  </si>
  <si>
    <t>ENSP00000314783,ENSP00000469315,ENSP00000471164,ENSP00000468856,ENSP00000472523</t>
  </si>
  <si>
    <t>ENST00000485272,ENST00000490393,ENST00000329553</t>
  </si>
  <si>
    <t>NM_199250,NM_199249</t>
  </si>
  <si>
    <t>NP_954858.1,NP_954857.1</t>
  </si>
  <si>
    <t>ENST00000598463,ENST00000345523,ENST00000596655,ENST00000596287,ENST00000597705,ENST00000597493,ENST00000593287,ENST00000600373,ENST00000601267,ENST00000595794,ENST00000596554,ENST00000599004,ENST00000602125,ENST00000391812</t>
  </si>
  <si>
    <t>ENSP00000471463,ENSP00000301419,ENSP00000471005,ENSP00000472200,ENSP00000473143,ENSP00000470455,ENSP00000470222,ENSP00000471910,ENSP00000469238,ENSP00000375688</t>
  </si>
  <si>
    <t>ENST00000262302,ENST00000566447,ENST00000568834,ENST00000567700,ENST00000566090,ENST00000563136,ENST00000565987,ENST00000568287,ENST00000565603,ENST00000569898,ENST00000565134,ENST00000564227,ENST00000562263,ENST00000568706,ENST00000568610,ENST00000563821</t>
  </si>
  <si>
    <t>ENSP00000262302,ENSP00000456928,ENSP00000454576,ENSP00000455896,ENSP00000454982,ENSP00000456284,ENSP00000454815,ENSP00000455739,ENSP00000456199,ENSP00000460079</t>
  </si>
  <si>
    <t>ENST00000398075,ENST00000421390</t>
  </si>
  <si>
    <t>ENSP00000381150,ENSP00000406055</t>
  </si>
  <si>
    <t>NM_017615,NM_001167865</t>
  </si>
  <si>
    <t>NP_060085.2,NP_001161337.1</t>
  </si>
  <si>
    <t>ENST00000369023,ENST00000459911,ENST00000477289,ENST00000489266,ENST00000468209,ENST00000483541,ENST00000369017,ENST00000464321,ENST00000481320,ENST00000472431,ENST00000465189</t>
  </si>
  <si>
    <t>ENSP00000358019,ENSP00000358013</t>
  </si>
  <si>
    <t>Homo sapiens coatomer protein complex, subunit gamma 2 (COPG2)</t>
  </si>
  <si>
    <t>ENST00000425248,ENST00000617523,ENST00000330992</t>
  </si>
  <si>
    <t>ENSP00000402346,ENSP00000331218</t>
  </si>
  <si>
    <t>NM_021800,NM_201262</t>
  </si>
  <si>
    <t>NP_068572.1,NP_957714.1</t>
  </si>
  <si>
    <t>ENST00000225171,ENST00000483798,ENST00000480963,ENST00000339758,ENST00000480180</t>
  </si>
  <si>
    <t>ENSP00000225171,ENSP00000474215,ENSP00000473979,ENSP00000343575,ENSP00000474804</t>
  </si>
  <si>
    <t>ENST00000262424,ENST00000566151,ENST00000567845,ENST00000566431,ENST00000565561,ENST00000564567,ENST00000569090,ENST00000569262,ENST00000563066,ENST00000566789,ENST00000566165</t>
  </si>
  <si>
    <t>ENSP00000262424,ENSP00000456554,ENSP00000457183,ENSP00000457655,ENSP00000454858,ENSP00000456952,ENSP00000457259,ENSP00000463171</t>
  </si>
  <si>
    <t>NM_001169126,NM_144615</t>
  </si>
  <si>
    <t>NP_001162597.1,NP_653216.2</t>
  </si>
  <si>
    <t>ENST00000595645,ENST00000301272,ENST00000600114,ENST00000600349</t>
  </si>
  <si>
    <t>ENSP00000470561,ENSP00000301272,ENSP00000470494,ENSP00000471821</t>
  </si>
  <si>
    <t>ENST00000286733,ENST00000511606,ENST00000513045,ENST00000602782,ENST00000507956,ENST00000505594,ENST00000507187,ENST00000507940,ENST00000503636</t>
  </si>
  <si>
    <t>ENSP00000286733,ENSP00000423397,ENSP00000473575,ENSP00000427641,ENSP00000426977,ENSP00000423142</t>
  </si>
  <si>
    <t>Homo sapiens dynein, light chain, Tctex-type 1 (DYNLT1)</t>
  </si>
  <si>
    <t>ENST00000367088,ENST00000367089,ENST00000367085</t>
  </si>
  <si>
    <t>ENSP00000356055,ENSP00000356056,ENSP00000356052</t>
  </si>
  <si>
    <t>ENST00000588750,ENST00000588802,ENST00000592535,ENST00000592885,ENST00000589781,ENST00000589078,ENST00000590334,ENST00000586638,ENST00000592176</t>
  </si>
  <si>
    <t>ENSP00000465356,ENSP00000468029,ENSP00000468276,ENSP00000467368,ENSP00000467504,ENSP00000465710,ENSP00000465190,ENSP00000466146,ENSP00000466227</t>
  </si>
  <si>
    <t>ENST00000295206,ENST00000546667</t>
  </si>
  <si>
    <t>NM_182492,NM_001135772</t>
  </si>
  <si>
    <t>NP_872298.1,NP_001129244.1</t>
  </si>
  <si>
    <t>ENST00000467672,ENST00000444995,ENST00000402785,ENST00000474163,ENST00000484509,ENST00000468442,ENST00000610821,ENST00000402859</t>
  </si>
  <si>
    <t>ENSP00000407283,ENSP00000384562,ENSP00000438222,ENSP00000437736,ENSP00000482378,ENSP00000384291</t>
  </si>
  <si>
    <t>NM_001244714,NM_001113411,NM_018291</t>
  </si>
  <si>
    <t>NP_001231643.1,NP_001106882.1,NP_060761.3</t>
  </si>
  <si>
    <t>ENST00000582567,ENST00000413489,ENST00000474476,ENST00000462744,ENST00000371218,ENST00000495718,ENST00000583635,ENST00000303721,ENST00000430447,ENST00000371212,ENST00000475949,ENST00000485720,ENST00000371210,ENST00000493891,ENST00000466791,ENST00000476939,ENST00000472783,ENST00000471169,ENST00000480847</t>
  </si>
  <si>
    <t>ENSP00000463260,ENSP00000406607,ENSP00000360262,ENSP00000305922,ENSP00000403425,ENSP00000360256,ENSP00000360254</t>
  </si>
  <si>
    <t>ENST00000449079,ENST00000497450,ENST00000342725,ENST00000609451,ENST00000609967,ENST00000469215,ENST00000463145,ENST00000491472,ENST00000481662,ENST00000477287,ENST00000380648</t>
  </si>
  <si>
    <t>ENSP00000405003,ENSP00000345030,ENSP00000477023,ENSP00000477107,ENSP00000370022</t>
  </si>
  <si>
    <t>ENST00000548547,ENST00000301464,ENST00000548176,ENST00000549628</t>
  </si>
  <si>
    <t>ENSP00000448953,ENSP00000301464,ENSP00000449344</t>
  </si>
  <si>
    <t>ENST00000371486,ENST00000468572</t>
  </si>
  <si>
    <t>Homo sapiens protease, serine, 16 (thymus)</t>
  </si>
  <si>
    <t>ENST00000454665,ENST00000421826,ENST00000230582,ENST00000470870,ENST00000468930,ENST00000466364,ENST00000485993,ENST00000475106,ENST00000495683,ENST00000488649,ENST00000481125,ENST00000462664,ENST00000492575,ENST00000484493,ENST00000459736,ENST00000478690,ENST00000377456,ENST00000468138,ENST00000471463,ENST00000485603</t>
  </si>
  <si>
    <t>ENSP00000396589,ENSP00000404349,ENSP00000230582,ENSP00000419492,ENSP00000418036,ENSP00000419437,ENSP00000418710,ENSP00000419538</t>
  </si>
  <si>
    <t>NM_016558,NM_033630</t>
  </si>
  <si>
    <t>NP_057642.1,NP_361012.2</t>
  </si>
  <si>
    <t>ENST00000305978,ENST00000373991,ENST00000615116</t>
  </si>
  <si>
    <t>ENSP00000301995,ENSP00000363103,ENSP00000481289</t>
  </si>
  <si>
    <t>ENST00000625834,ENST00000630201,ENST00000627617,ENST00000628198</t>
  </si>
  <si>
    <t>ENSP00000486643,ENSP00000487431,ENSP00000485713,ENSP00000485795</t>
  </si>
  <si>
    <t>XR_171373,XR_158994</t>
  </si>
  <si>
    <t>ENST00000374213,ENST00000492808,ENST00000470468</t>
  </si>
  <si>
    <t>NM_015956,NM_146387,NM_146388</t>
  </si>
  <si>
    <t>NP_057040.2,NP_666499.1,NP_666500.1</t>
  </si>
  <si>
    <t>ENST00000592514,ENST00000591054,ENST00000253099,ENST00000590150,ENST00000590669,ENST00000393733,ENST00000592071,ENST00000588502,ENST00000588963,ENST00000590702,ENST00000307422</t>
  </si>
  <si>
    <t>ENSP00000468569,ENSP00000465635,ENSP00000253099,ENSP00000466050,ENSP00000465143,ENSP00000377334,ENSP00000466169,ENSP00000465050,ENSP00000306902</t>
  </si>
  <si>
    <t>ENST00000629243,ENST00000630172,ENST00000631071,ENST00000627703,ENST00000630169,ENST00000629713,ENST00000628720,ENST00000625526,ENST00000625680,ENST00000626820,ENST00000630040,ENST00000626997,ENST00000630535,ENST00000630544</t>
  </si>
  <si>
    <t>ENSP00000487467,ENSP00000486853,ENSP00000486097,ENSP00000486496,ENSP00000485724,ENSP00000485730,ENSP00000486303,ENSP00000487585</t>
  </si>
  <si>
    <t>ENST00000521264,ENST00000522145,ENST00000522314,ENST00000520382,ENST00000524142,ENST00000522710,ENST00000313115</t>
  </si>
  <si>
    <t>ENSP00000429366,ENSP00000430028,ENSP00000429982,ENSP00000430598,ENSP00000429814,ENSP00000316854</t>
  </si>
  <si>
    <t>NM_018455,NM_001100625</t>
  </si>
  <si>
    <t>NP_060925.2,NP_001094095.2</t>
  </si>
  <si>
    <t>ENST00000305850,ENST00000299572,ENST00000439957,ENST00000393335,ENST00000569461,ENST00000428963,ENST00000564669,ENST00000568445,ENST00000562943</t>
  </si>
  <si>
    <t>ENSP00000305608,ENSP00000299572,ENSP00000395235,ENSP00000377007,ENSP00000393991,ENSP00000454327,ENSP00000454337,ENSP00000456413</t>
  </si>
  <si>
    <t>Homo sapiens glutamate receptor, ionotropic, N-methyl-D-aspartate 3A (GRIN3A)</t>
  </si>
  <si>
    <t>ENST00000361820,ENST00000479772</t>
  </si>
  <si>
    <t>ENST00000372486,ENST00000372483,ENST00000481189,ENST00000459968,ENST00000482347,ENST00000372481,ENST00000372480,ENST00000486391,ENST00000617943,ENST00000613644,ENST00000611055</t>
  </si>
  <si>
    <t>ENSP00000361564,ENSP00000361561,ENSP00000473916,ENSP00000474445,ENSP00000473900,ENSP00000361559,ENSP00000361558,ENSP00000484447,ENSP00000478521,ENSP00000483489</t>
  </si>
  <si>
    <t>ENST00000317534,ENST00000418740,ENST00000483330,ENST00000467084,ENST00000414932|ENST00000603700</t>
  </si>
  <si>
    <t>ENSP00000318158,ENSP00000407625|ENSP00000473871</t>
  </si>
  <si>
    <t>Homo sapiens ubiquinol-cytochrome c reductase, complex III subunit X (UQCR10)</t>
  </si>
  <si>
    <t>NM_001003684,NM_013387</t>
  </si>
  <si>
    <t>NP_001003684.1,NP_037519.2</t>
  </si>
  <si>
    <t>ENST00000330029,ENST00000401406,ENST00000616603</t>
  </si>
  <si>
    <t>ENSP00000332887,ENSP00000384962,ENSP00000482098</t>
  </si>
  <si>
    <t>ENST00000471389,ENST00000570395,ENST00000464071,ENST00000431610,ENST00000460382,ENST00000463855,ENST00000268349,ENST00000472835</t>
  </si>
  <si>
    <t>ENSP00000418823,ENSP00000418424,ENSP00000415636,ENSP00000417422,ENSP00000417843,ENSP00000268349</t>
  </si>
  <si>
    <t>ENST00000557148,ENST00000555143,ENST00000280082,ENST00000556784</t>
  </si>
  <si>
    <t>ENSP00000451883,ENSP00000280082</t>
  </si>
  <si>
    <t>ENST00000239374,ENST00000544131,ENST00000537358</t>
  </si>
  <si>
    <t>ENST00000548553,ENST00000550502,ENST00000547104,ENST00000550097,ENST00000332160</t>
  </si>
  <si>
    <t>ENSP00000448785,ENSP00000450239,ENSP00000447542,ENSP00000448286,ENSP00000331787</t>
  </si>
  <si>
    <t>NM_001040668,NM_138639</t>
  </si>
  <si>
    <t>NP_001035758.1,NP_619580.1</t>
  </si>
  <si>
    <t>ENST00000441864,ENST00000246785,ENST00000594157,ENST00000598979,ENST00000601168,ENST00000600947,ENST00000246784,ENST00000598306,ENST00000594793,ENST00000616144,ENST00000619007,ENST00000614495,ENST00000611631</t>
  </si>
  <si>
    <t>ENSP00000393803,ENSP00000246785,ENSP00000469216,ENSP00000471919,ENSP00000470644,ENSP00000246784,ENSP00000472214,ENSP00000482218,ENSP00000483272,ENSP00000482154,ENSP00000478415</t>
  </si>
  <si>
    <t>NM_001267895,NM_133455</t>
  </si>
  <si>
    <t>NP_001254824.1,NP_597712.2</t>
  </si>
  <si>
    <t>ENST00000334018,ENST00000429226,ENST00000404755,ENST00000404820,ENST00000430127,ENST00000435427,ENST00000484039,ENST00000433143,ENST00000473933,ENST00000488820,ENST00000487477</t>
  </si>
  <si>
    <t>ENSP00000335481,ENSP00000403816,ENSP00000385414,ENSP00000384452,ENSP00000399760,ENSP00000402621,ENSP00000408339</t>
  </si>
  <si>
    <t>ENST00000432938,ENST00000432246</t>
  </si>
  <si>
    <t>ENST00000600663,ENST00000335624</t>
  </si>
  <si>
    <t>ENSP00000473046,ENSP00000335623</t>
  </si>
  <si>
    <t>ENST00000553672,ENST00000331334,ENST00000557731</t>
  </si>
  <si>
    <t>ENSP00000328570,ENSP00000451800</t>
  </si>
  <si>
    <t>ENST00000014930,ENST00000540916,ENST00000535636,ENST00000536942</t>
  </si>
  <si>
    <t>ENSP00000014930,ENSP00000442020,ENSP00000441678</t>
  </si>
  <si>
    <t>NR_034010,NR_003584</t>
  </si>
  <si>
    <t>ENST00000602414,ENST00000602520,ENST00000602483,ENST00000602819,ENST00000602573</t>
  </si>
  <si>
    <t>NM_134440,NM_003721</t>
  </si>
  <si>
    <t>NP_604389.1,NP_003712.1</t>
  </si>
  <si>
    <t>ENST00000421262,ENST00000303088,ENST00000456252,ENST00000593273,ENST00000407360,ENST00000540981,ENST00000543157,ENST00000392324,ENST00000541873,ENST00000545522,ENST00000535017,ENST00000543118,ENST00000540977,ENST00000544923,ENST00000536253</t>
  </si>
  <si>
    <t>ENSP00000393159,ENSP00000305071,ENSP00000409138,ENSP00000466913,ENSP00000384572,ENSP00000440325,ENSP00000376138,ENSP00000444280,ENSP00000441042,ENSP00000440321</t>
  </si>
  <si>
    <t>NM_001040648,NM_001040647,NM_014478,NM_001142414,NR_024548</t>
  </si>
  <si>
    <t>NP_001035738.1,NP_001035737.1,NP_055293.1,NP_001135886.1,-</t>
  </si>
  <si>
    <t>ENST00000360415,ENST00000395326,ENST00000431089,ENST00000398684,ENST00000338592,ENST00000486848,ENST00000492264</t>
  </si>
  <si>
    <t>ENSP00000353589,ENSP00000378736,ENSP00000388653,ENSP00000381674,ENSP00000340044</t>
  </si>
  <si>
    <t>NM_213674,NM_003289</t>
  </si>
  <si>
    <t>NP_998839.1,NP_003280.2</t>
  </si>
  <si>
    <t>ENST00000378300,ENST00000378292,ENST00000329305,ENST00000360958,ENST00000607559,ENST00000471212,ENST00000486018,ENST00000604975</t>
  </si>
  <si>
    <t>ENSP00000367550,ENSP00000367542,ENSP00000367541,ENSP00000354219,ENSP00000475952</t>
  </si>
  <si>
    <t>Homo sapiens ribosomal protein S6 kinase, 90kDa, polypeptide 2 (RPS6KA2)</t>
  </si>
  <si>
    <t>NM_001006932,NM_021135</t>
  </si>
  <si>
    <t>NP_001006933.1,NP_066958.2</t>
  </si>
  <si>
    <t>ENST00000265678,ENST00000510118,ENST00000503859,ENST00000509742,ENST00000481261,ENST00000405189,ENST00000491836,ENST00000366865,ENST00000507350,ENST00000512860,ENST00000507371,ENST00000506565,ENST00000511034</t>
  </si>
  <si>
    <t>ENSP00000265678,ENSP00000422435,ENSP00000427015,ENSP00000422484,ENSP00000386050,ENSP00000422197,ENSP00000427605,ENSP00000423114,ENSP00000425148,ENSP00000425458</t>
  </si>
  <si>
    <t>ENST00000264363,ENST00000504854,ENST00000514570,ENST00000613194</t>
  </si>
  <si>
    <t>ENSP00000264363,ENSP00000423218,ENSP00000483949</t>
  </si>
  <si>
    <t>ENST00000377959,ENST00000377960,ENST00000474050,ENST00000619700,ENST00000396613</t>
  </si>
  <si>
    <t>ENSP00000367195,ENSP00000367196,ENSP00000478768,ENSP00000379857</t>
  </si>
  <si>
    <t>ENST00000248958,ENST00000466935</t>
  </si>
  <si>
    <t>ENST00000624362,ENST00000580907,ENST00000225831,ENST00000582017</t>
  </si>
  <si>
    <t>ENSP00000462156,ENSP00000225831</t>
  </si>
  <si>
    <t>ENST00000595851,ENST00000594786,ENST00000599700,ENST00000263093,ENST00000601355,ENST00000601997,ENST00000594683,ENST00000593745</t>
  </si>
  <si>
    <t>ENSP00000469512,ENSP00000471065,ENSP00000263093,ENSP00000470368</t>
  </si>
  <si>
    <t>ENST00000513116,ENST00000426559,ENST00000455785,ENST00000465604,ENST00000357865,ENST00000374291,ENST00000485226,ENST00000446334,ENST00000399728</t>
  </si>
  <si>
    <t>ENSP00000410452,ENSP00000387858,ENSP00000350531,ENSP00000363409,ENSP00000407567,ENSP00000382633</t>
  </si>
  <si>
    <t>ENST00000542794,ENST00000301761,ENST00000542074,ENST00000534878,ENST00000359614,ENST00000537782,ENST00000536250,ENST00000543265</t>
  </si>
  <si>
    <t>ENSP00000439983,ENSP00000301761,ENSP00000469670,ENSP00000471030,ENSP00000352630,ENSP00000469951,ENSP00000471120,ENSP00000443660</t>
  </si>
  <si>
    <t>ENST00000301335,ENST00000571650,ENST00000412517,ENST00000576537,ENST00000576769,ENST00000572135,ENST00000574743,ENST00000572801,ENST00000574274,ENST00000576721,ENST00000571376,ENST00000575944</t>
  </si>
  <si>
    <t>ENSP00000301335,ENSP00000461382,ENSP00000408284,ENSP00000461298,ENSP00000460388,ENSP00000461553</t>
  </si>
  <si>
    <t>Homo sapiens family with sequence similarity 73, member B (FAM73B)</t>
  </si>
  <si>
    <t>ENST00000477088,ENST00000474534,ENST00000439290,ENST00000445183,ENST00000358369,ENST00000450073,ENST00000474639,ENST00000494608,ENST00000495975,ENST00000414342,ENST00000471943,ENST00000492279,ENST00000483458</t>
  </si>
  <si>
    <t>ENSP00000391603,ENSP00000396618,ENSP00000351138,ENSP00000409348,ENSP00000415906</t>
  </si>
  <si>
    <t>ENST00000493862,ENST00000438329,ENST00000359114,ENST00000474032,ENST00000468597,ENST00000484650,ENST00000611699</t>
  </si>
  <si>
    <t>ENSP00000403059,ENSP00000352021,ENSP00000482349</t>
  </si>
  <si>
    <t>ENST00000413387,ENST00000370597,ENST00000436034,ENST00000309155,ENST00000468549,ENST00000370591</t>
  </si>
  <si>
    <t>ENSP00000408445,ENSP00000359629,ENSP00000404549,ENSP00000310810,ENSP00000359623</t>
  </si>
  <si>
    <t>NM_031472,NM_001160390,NM_001033678,NM_001160393,NM_001160389</t>
  </si>
  <si>
    <t>NP_113660.1,NP_001153862.1,NP_001028850.2,NP_001153865.1,NP_001153861.1</t>
  </si>
  <si>
    <t>ENST00000394547,ENST00000546133,ENST00000536158,ENST00000539436,ENST00000544286,ENST00000537907,ENST00000541928,ENST00000317459,ENST00000546089,ENST00000539595,ENST00000536234,ENST00000545812,ENST00000542040,ENST00000540472,ENST00000541278,ENST00000394546</t>
  </si>
  <si>
    <t>ENSP00000378051,ENSP00000439586,ENSP00000445292,ENSP00000314073,ENSP00000437741,ENSP00000442066,ENSP00000438683,ENSP00000378050</t>
  </si>
  <si>
    <t>ENST00000582963,ENST00000469568,ENST00000474210,ENST00000394231,ENST00000577810,ENST00000498164</t>
  </si>
  <si>
    <t>ENSP00000377778,ENSP00000462998</t>
  </si>
  <si>
    <t>Homo sapiens cadherin 12, type 2 (N-cadherin 2)</t>
  </si>
  <si>
    <t>ENST00000504376,ENST00000382254,ENST00000522262,ENST00000521384,ENST00000517378,ENST00000518209,ENST00000521745,ENST00000520668,ENST00000619694</t>
  </si>
  <si>
    <t>ENSP00000423577,ENSP00000371689,ENSP00000428786,ENSP00000480493</t>
  </si>
  <si>
    <t>Homo sapiens brain expressed, X-linked 1 (BEX1)</t>
  </si>
  <si>
    <t>ENST00000601440,ENST00000595405,ENST00000291750,ENST00000612591,ENST00000622341</t>
  </si>
  <si>
    <t>ENSP00000469958,ENSP00000469566,ENSP00000291750,ENSP00000484232,ENSP00000482717</t>
  </si>
  <si>
    <t>NM_001271608,NM_006148,NR_073384</t>
  </si>
  <si>
    <t>NP_001258537.1,NP_006139.1,-</t>
  </si>
  <si>
    <t>ENST00000318008,ENST00000585841,ENST00000584106,ENST00000443937,ENST00000419929,ENST00000581485,ENST00000579123,ENST00000433206,ENST00000435347</t>
  </si>
  <si>
    <t>ENSP00000325240,ENSP00000468664,ENSP00000414803,ENSP00000391897,ENSP00000462564,ENSP00000401048,ENSP00000392853</t>
  </si>
  <si>
    <t>ENST00000299529,ENST00000406419,ENST00000560753</t>
  </si>
  <si>
    <t>ENSP00000299529,ENSP00000385978</t>
  </si>
  <si>
    <t>ENST00000573910,ENST00000572173,ENST00000572992,ENST00000312499,ENST00000576027</t>
  </si>
  <si>
    <t>ENSP00000461206,ENSP00000310356,ENSP00000459601</t>
  </si>
  <si>
    <t>ENST00000258111,ENST00000531884</t>
  </si>
  <si>
    <t>ENSP00000258111,ENSP00000431137</t>
  </si>
  <si>
    <t>Homo sapiens syncoilin, intermediate filament protein (SYNC)</t>
  </si>
  <si>
    <t>NM_001161708,NM_030786</t>
  </si>
  <si>
    <t>NP_001155180.1,NP_110413.2</t>
  </si>
  <si>
    <t>ENST00000409190,ENST00000373484,ENST00000417633,ENST00000426909</t>
  </si>
  <si>
    <t>ENSP00000386439,ENSP00000362583,ENSP00000401975,ENSP00000387594</t>
  </si>
  <si>
    <t>Homo sapiens acyl-CoA dehydrogenase, C-2 to C-3 short chain (ACADS)</t>
  </si>
  <si>
    <t>ENST00000242592,ENST00000539690,ENST00000411593</t>
  </si>
  <si>
    <t>ENSP00000242592,ENSP00000401045</t>
  </si>
  <si>
    <t>NM_213595,NM_014301</t>
  </si>
  <si>
    <t>NP_998760.1,NP_055116.1</t>
  </si>
  <si>
    <t>ENST00000545932,ENST00000552072,ENST00000535729,ENST00000431221,ENST00000547005,ENST00000311893,ENST00000539580,ENST00000392807,ENST00000539593,ENST00000535405,ENST00000544493,ENST00000540154,ENST00000538193</t>
  </si>
  <si>
    <t>ENSP00000445598,ENSP00000411108,ENSP00000446606,ENSP00000310623,ENSP00000437854,ENSP00000376554,ENSP00000443272</t>
  </si>
  <si>
    <t>ENST00000381401,ENST00000475167,ENST00000484026</t>
  </si>
  <si>
    <t>Homo sapiens late endosomal/lysosomal adaptor, MAPK and MTOR activator 2 (LAMTOR2)</t>
  </si>
  <si>
    <t>NM_001145264,NM_014017</t>
  </si>
  <si>
    <t>NP_001138736.1,NP_054736.1</t>
  </si>
  <si>
    <t>ENST00000368305,ENST00000368304,ENST00000489664,ENST00000368302,ENST00000487106,ENST00000463371</t>
  </si>
  <si>
    <t>ENSP00000357288,ENSP00000357287,ENSP00000357285</t>
  </si>
  <si>
    <t>NM_001270483,NM_003312</t>
  </si>
  <si>
    <t>NP_001257412.1,NP_003303.2</t>
  </si>
  <si>
    <t>ENST00000403892,ENST00000249042,ENST00000438203,ENST00000622841</t>
  </si>
  <si>
    <t>ENSP00000385828,ENSP00000249042,ENSP00000400764,ENSP00000478739</t>
  </si>
  <si>
    <t>ENST00000246532,ENST00000592889,ENST00000588992,ENST00000592537,ENST00000588018,ENST00000591748,ENST00000592693,ENST00000587101,ENST00000591277,ENST00000589175,ENST00000586140</t>
  </si>
  <si>
    <t>ENSP00000246532,ENSP00000467750,ENSP00000465962,ENSP00000466181,ENSP00000468545,ENSP00000476009,ENSP00000474913,ENSP00000468644,ENSP00000467842</t>
  </si>
  <si>
    <t>NM_001145303,NM_144686</t>
  </si>
  <si>
    <t>NP_001138775.2,NP_653287.2</t>
  </si>
  <si>
    <t>ENST00000611183,ENST00000615945,ENST00000613723,ENST00000619895,ENST00000617472,ENST00000495398,ENST00000613492,ENST00000476013,ENST00000497518,ENST00000446291</t>
  </si>
  <si>
    <t>ENSP00000481392,ENSP00000479458,ENSP00000477627,ENSP00000416444</t>
  </si>
  <si>
    <t>NR_027685,NR_027684,NR_027682,NR_027683,NM_001160266,NM_001160246,NM_001160244,NM_001033002</t>
  </si>
  <si>
    <t>-,-,-,-,NP_001153738.1,NP_001153718.1,NP_001153716.1,NP_001028174.2</t>
  </si>
  <si>
    <t>ENST00000536255,ENST00000573577,ENST00000571558,ENST00000575599,ENST00000381209,ENST00000571043,ENST00000571613,ENST00000539417,ENST00000381208,ENST00000327154,ENST00000572174,ENST00000570883,ENST00000575112,ENST00000575711,ENST00000405578,ENST00000573126,ENST00000574003</t>
  </si>
  <si>
    <t>ENSP00000439939,ENSP00000460162,ENSP00000458699,ENSP00000458218,ENSP00000370606,ENSP00000446453,ENSP00000370605,ENSP00000315069,ENSP00000460354,ENSP00000385814,ENSP00000467178</t>
  </si>
  <si>
    <t>ENST00000425361,ENST00000457492,ENST00000281871,ENST00000409255,ENST00000455239,ENST00000485869,ENST00000480182,ENST00000491178|ENST00000427024,ENST00000445782,ENST00000410036,ENST00000309451,ENST00000488586,ENST00000491265</t>
  </si>
  <si>
    <t>ENSP00000398749,ENSP00000387805,ENSP00000281871,ENSP00000386419,ENSP00000404629|ENSP00000403353,ENSP00000311500</t>
  </si>
  <si>
    <t>ENST00000577958,ENST00000302182,ENST00000577640,ENST00000535788,ENST00000578649,ENST00000395839,ENST00000395837,ENST00000578706,ENST00000614404</t>
  </si>
  <si>
    <t>ENSP00000464594,ENSP00000304697,ENSP00000463156,ENSP00000437475,ENSP00000379180,ENSP00000379178,ENSP00000464510,ENSP00000478771</t>
  </si>
  <si>
    <t>NM_001136135,NM_000991,NM_001136134</t>
  </si>
  <si>
    <t>NP_001129607.1,NP_000982.2,NP_001129606.1</t>
  </si>
  <si>
    <t>ENST00000344063,ENST00000431533,ENST00000428193,ENST00000558815,ENST00000560583,ENST00000560055,ENST00000560881,ENST00000559463,ENST00000558131,ENST00000426763,ENST00000558752</t>
  </si>
  <si>
    <t>ENSP00000342787,ENSP00000400596,ENSP00000391665,ENSP00000452909,ENSP00000453029,ENSP00000452763,ENSP00000453319,ENSP00000453285,ENSP00000453584</t>
  </si>
  <si>
    <t>ENST00000305943,ENST00000482739</t>
  </si>
  <si>
    <t>ENST00000330133,ENST00000589174</t>
  </si>
  <si>
    <t>ENSP00000331849,ENSP00000467023</t>
  </si>
  <si>
    <t>NM_203497,NM_203495</t>
  </si>
  <si>
    <t>NP_987093.1,NP_987091.1</t>
  </si>
  <si>
    <t>ENST00000377615,ENST00000483290,ENST00000377619,ENST00000486516,ENST00000497707,ENST00000355801,ENST00000377612,ENST00000460675,ENST00000464050,ENST00000477377,ENST00000471682,ENST00000406936,ENST00000626103</t>
  </si>
  <si>
    <t>ENSP00000366841,ENSP00000366845,ENSP00000348054,ENSP00000366838,ENSP00000385660,ENSP00000485825</t>
  </si>
  <si>
    <t>ENST00000290079,ENST00000465017,ENST00000483187,ENST00000479737,ENST00000484854,ENST00000489739</t>
  </si>
  <si>
    <t>Homo sapiens retinoic acid receptor, alpha (RARA)</t>
  </si>
  <si>
    <t>NM_001145302,NM_000964,NM_001145301,NM_001024809</t>
  </si>
  <si>
    <t>NP_001138774.1,NP_000955.1,NP_001138773.1,NP_001019980.1</t>
  </si>
  <si>
    <t>ENST00000577646,ENST00000254066,ENST00000394089,ENST00000425707,ENST00000582914,ENST00000394086,ENST00000394081,ENST00000579727,ENST00000475125,ENST00000420042</t>
  </si>
  <si>
    <t>ENSP00000464287,ENSP00000254066,ENSP00000377649,ENSP00000389993,ENSP00000377648,ENSP00000377643,ENSP00000462514</t>
  </si>
  <si>
    <t>ENST00000535185,ENST00000535401,ENST00000541090,ENST00000299964,ENST00000546313,ENST00000541754,ENST00000542647,ENST00000545255</t>
  </si>
  <si>
    <t>ENSP00000441434,ENSP00000299964</t>
  </si>
  <si>
    <t>Homo sapiens late endosomal/lysosomal adaptor, MAPK and MTOR activator 5 (LAMTOR5)</t>
  </si>
  <si>
    <t>ENST00000483260,ENST00000474861,ENST00000464240,ENST00000602318,ENST00000256644,ENST00000602858,ENST00000531779,ENST00000614544</t>
  </si>
  <si>
    <t>ENSP00000435085,ENSP00000434828,ENSP00000473439,ENSP00000256644,ENSP00000473357,ENSP00000480529</t>
  </si>
  <si>
    <t>NM_001199461,NM_001199464,NM_001199463,NM_144781</t>
  </si>
  <si>
    <t>NP_001186390.1,NP_001186393.1,NP_001186392.1,NP_659005.1</t>
  </si>
  <si>
    <t>ENST00000541970,ENST00000543284,ENST00000167218,ENST00000392090,ENST00000545869,ENST00000542896,ENST00000544866,ENST00000539212,ENST00000538195,ENST00000453163,ENST00000537445,ENST00000544336,ENST00000443345,ENST00000544755,ENST00000614056</t>
  </si>
  <si>
    <t>ENSP00000439467,ENSP00000167218,ENSP00000375940,ENSP00000441977,ENSP00000439914,ENSP00000441098,ENSP00000439236,ENSP00000442815,ENSP00000402524,ENSP00000440572,ENSP00000444066,ENSP00000397272,ENSP00000440117,ENSP00000481860</t>
  </si>
  <si>
    <t>Homo sapiens solute carrier family 22, member 17 (SLC22A17)</t>
  </si>
  <si>
    <t>NM_016609,NM_020372</t>
  </si>
  <si>
    <t>NP_057693.3,NP_065105.2</t>
  </si>
  <si>
    <t>ENST00000354772,ENST00000397260,ENST00000474057,ENST00000206544,ENST00000473917,ENST00000474774,ENST00000557699,ENST00000556803,ENST00000397267</t>
  </si>
  <si>
    <t>ENSP00000346824,ENSP00000380430,ENSP00000206544,ENSP00000380437</t>
  </si>
  <si>
    <t>ENST00000419886,ENST00000344980,ENST00000550507,ENST00000455504,ENST00000552904,ENST00000548669,ENST00000478765,ENST00000547560,ENST00000550745,ENST00000411841</t>
  </si>
  <si>
    <t>ENSP00000393416,ENSP00000339767,ENSP00000448099,ENSP00000414857,ENSP00000448233,ENSP00000446484,ENSP00000447951,ENSP00000448806,ENSP00000447205,ENSP00000407475</t>
  </si>
  <si>
    <t>ENST00000394485,ENST00000562939,ENST00000568370,ENST00000564974</t>
  </si>
  <si>
    <t>ENSP00000377995,ENSP00000475791,ENSP00000475537</t>
  </si>
  <si>
    <t>NM_001244926,NM_004697</t>
  </si>
  <si>
    <t>NP_001231855.1,NP_004688.2</t>
  </si>
  <si>
    <t>ENST00000374199,ENST00000374198,ENST00000488937</t>
  </si>
  <si>
    <t>ENSP00000363315,ENSP00000363313</t>
  </si>
  <si>
    <t>NM_001012644,NM_177991,NM_080611</t>
  </si>
  <si>
    <t>NP_001012662.1,NP_817130.1,NP_542178.2</t>
  </si>
  <si>
    <t>ENST00000447647,ENST00000278979,ENST00000486996,ENST00000398084,ENST00000375966,ENST00000339738,ENST00000459848,ENST00000493115,ENST00000428829,ENST00000398083</t>
  </si>
  <si>
    <t>ENSP00000397486,ENSP00000278979,ENSP00000419818,ENSP00000381158,ENSP00000365133,ENSP00000341658,ENSP00000390355,ENSP00000381157</t>
  </si>
  <si>
    <t>NM_174943,NM_001173978</t>
  </si>
  <si>
    <t>NP_777603.1,NP_001167449.1</t>
  </si>
  <si>
    <t>ENST00000355883,ENST00000557011,ENST00000556047,ENST00000439131</t>
  </si>
  <si>
    <t>ENSP00000348145,ENSP00000451236,ENSP00000451531,ENSP00000407405</t>
  </si>
  <si>
    <t>ENST00000608007,ENST00000400991,ENST00000368242,ENST00000471156,ENST00000497824,ENST00000488498,ENST00000465270,ENST00000462458,ENST00000486517,ENST00000465570,ENST00000310027,ENST00000368243,ENST00000498346,ENST00000497822,ENST00000492750,ENST00000357975,ENST00000464238,ENST00000482932,ENST00000489918,ENST00000484428,ENST00000489877,ENST00000476966,ENST00000463309,ENST00000464203,ENST00000469813,ENST00000495000,ENST00000615748</t>
  </si>
  <si>
    <t>ENSP00000383776,ENSP00000357225,ENSP00000310651,ENSP00000357226,ENSP00000350661,ENSP00000479346</t>
  </si>
  <si>
    <t>ENST00000432590,ENST00000481808,ENST00000457067,ENST00000369956,ENST00000440407,ENST00000425536,ENST00000224862</t>
  </si>
  <si>
    <t>ENSP00000411435,ENSP00000392215,ENSP00000358972,ENSP00000405961,ENSP00000403646,ENSP00000224862</t>
  </si>
  <si>
    <t>NM_001198671,NM_001198675,NM_001198674,NM_001198673,NM_001198672,NM_001198670,NM_174926</t>
  </si>
  <si>
    <t>NP_001185600.1,NP_001185604.1,NP_001185603.1,NP_001185602.1,NP_001185601.1,NP_001185599.1,NP_777586.1</t>
  </si>
  <si>
    <t>ENST00000375095,ENST00000314475,ENST00000531346,ENST00000529187,ENST00000524680</t>
  </si>
  <si>
    <t>ENSP00000364236,ENSP00000312672,ENSP00000434862</t>
  </si>
  <si>
    <t>ENST00000403633,ENST00000427499,ENST00000496696,ENST00000222969,ENST00000473447,ENST00000471813,ENST00000456893,ENST00000431419,ENST00000466798</t>
  </si>
  <si>
    <t>ENSP00000386023,ENSP00000416698,ENSP00000222969,ENSP00000395269,ENSP00000408269</t>
  </si>
  <si>
    <t>ENSP00000389400,ENSP00000354580,ENSP00000456520,ENSP00000442243,ENSP00000457859,ENSP00000438837,ENSP00000445009</t>
  </si>
  <si>
    <t>ENST00000328965,ENST00000531220,ENST00000534735</t>
  </si>
  <si>
    <t>ENSP00000332613,ENSP00000431865</t>
  </si>
  <si>
    <t>Homo sapiens family with sequence similarity 26, member F (FAM26F)</t>
  </si>
  <si>
    <t>ENST00000368606,ENST00000368605,ENST00000368604</t>
  </si>
  <si>
    <t>ENSP00000357595,ENSP00000357594,ENSP00000357593</t>
  </si>
  <si>
    <t>NM_001008704,NM_001008703,NM_178508</t>
  </si>
  <si>
    <t>NP_001008704.1,NP_001008703.1,NP_848603.2</t>
  </si>
  <si>
    <t>ENST00000476320,ENST00000481533,ENST00000413013,ENST00000394990,ENST00000335352,ENST00000463083,ENST00000468145,ENST00000495581</t>
  </si>
  <si>
    <t>ENSP00000417604,ENSP00000418062,ENSP00000387460,ENSP00000378441,ENSP00000334260,ENSP00000418884</t>
  </si>
  <si>
    <t>NR_037718,NM_016938</t>
  </si>
  <si>
    <t>-,NP_058634.4</t>
  </si>
  <si>
    <t>ENST00000527277,ENST00000531972,ENST00000526628,ENST00000526911,ENST00000531645,ENST00000528176,ENST00000307998,ENST00000524408,ENST00000532648,ENST00000528409,ENST00000530806,ENST00000525392,ENST00000532084,ENST00000531005,ENST00000527969,ENST00000533347,ENST00000526624,ENST00000527378,ENST00000530850,ENST00000529870</t>
  </si>
  <si>
    <t>ENSP00000431305,ENSP00000435295,ENSP00000436536,ENSP00000436521,ENSP00000434151,ENSP00000309953,ENSP00000432191,ENSP00000436526,ENSP00000435823,ENSP00000435419,ENSP00000435963,ENSP00000437238</t>
  </si>
  <si>
    <t>NM_001270893,NM_001270892,NM_001270891,NM_024108</t>
  </si>
  <si>
    <t>NP_001257822.1,NP_001257821.1,NP_001257820.1,NP_077013.1</t>
  </si>
  <si>
    <t>ENST00000006275,ENST00000588062,ENST00000585934,ENST00000592647,ENST00000587818</t>
  </si>
  <si>
    <t>ENSP00000006275,ENSP00000468363,ENSP00000468612,ENSP00000468182</t>
  </si>
  <si>
    <t>NM_001257134,NM_001257133,NM_032901</t>
  </si>
  <si>
    <t>NP_001244063.1,NP_001244062.1,NP_116290.1</t>
  </si>
  <si>
    <t>ENST00000550487,ENST00000317943,ENST00000550654,ENST00000548985</t>
  </si>
  <si>
    <t>ENSP00000446524,ENSP00000326052,ENSP00000450331,ENSP00000447776</t>
  </si>
  <si>
    <t>ENST00000308906,ENST00000302096</t>
  </si>
  <si>
    <t>ENSP00000310801,ENSP00000302763</t>
  </si>
  <si>
    <t>NM_001919,NM_001178029</t>
  </si>
  <si>
    <t>NP_001910.2,NP_001171500.1</t>
  </si>
  <si>
    <t>ENST00000301729,ENST00000562238,ENST00000570258,ENST00000566379,ENST00000563447,ENST00000563029,ENST00000561688</t>
  </si>
  <si>
    <t>ENSP00000301729,ENSP00000456319,ENSP00000457900,ENSP00000456565</t>
  </si>
  <si>
    <t>NM_001166220,NM_001077653</t>
  </si>
  <si>
    <t>NP_001159692.1,NP_001071121.1</t>
  </si>
  <si>
    <t>ENST00000408931,ENST00000492961</t>
  </si>
  <si>
    <t>ENST00000221403,ENST00000523250,ENST00000522614,ENST00000520557</t>
  </si>
  <si>
    <t>ENSP00000221403,ENSP00000428935,ENSP00000428672,ENSP00000430360</t>
  </si>
  <si>
    <t>ENST00000614145,ENST00000581066</t>
  </si>
  <si>
    <t>ENSP00000480129,ENSP00000461930</t>
  </si>
  <si>
    <t>ENST00000538392,ENST00000542222,ENST00000545581,ENST00000544681,ENST00000537087,ENST00000229281,ENST00000540506</t>
  </si>
  <si>
    <t>ENSP00000440602,ENSP00000475422,ENSP00000440937,ENSP00000229281,ENSP00000475635</t>
  </si>
  <si>
    <t>ENST00000457408,ENST00000289577,ENST00000481238,ENST00000477639,ENST00000444131</t>
  </si>
  <si>
    <t>ENSP00000404042,ENSP00000289577,ENSP00000417443</t>
  </si>
  <si>
    <t>NM_175614,NR_034166</t>
  </si>
  <si>
    <t>NP_783313.1,-</t>
  </si>
  <si>
    <t>ENST00000418389,ENST00000592634,ENST00000593233,ENST00000308961,ENST00000591341,ENST00000591160</t>
  </si>
  <si>
    <t>ENSP00000389160,ENSP00000467706,ENSP00000466103,ENSP00000311740</t>
  </si>
  <si>
    <t>ENST00000328379,ENST00000480190,ENST00000467797,ENST00000474668,ENST00000487316,ENST00000492046</t>
  </si>
  <si>
    <t>Homo sapiens striatin, calmodulin binding protein 4 (STRN4)</t>
  </si>
  <si>
    <t>NM_001039877,NM_013403</t>
  </si>
  <si>
    <t>NP_001034966.1,NP_037535.2</t>
  </si>
  <si>
    <t>ENST00000263280,ENST00000391910,ENST00000601869,ENST00000594581,ENST00000539396,ENST00000600615,ENST00000595357,ENST00000594287,ENST00000601631,ENST00000598074,ENST00000594357,ENST00000600358,ENST00000435164,ENST00000602223,ENST00000599231,ENST00000594847,ENST00000596016,ENST00000602397,ENST00000594704,ENST00000593979,ENST00000597063,ENST00000597021,ENST00000596012,ENST00000600710</t>
  </si>
  <si>
    <t>ENSP00000263280,ENSP00000375777,ENSP00000440901,ENSP00000472938,ENSP00000470634,ENSP00000473446,ENSP00000473607,ENSP00000471499,ENSP00000471354,ENSP00000470040,ENSP00000472429,ENSP00000469279</t>
  </si>
  <si>
    <t>ENST00000215754,ENST00000465752,ENST00000498385</t>
  </si>
  <si>
    <t>ENST00000344846,ENST00000600863,ENST00000601610,ENST00000595322</t>
  </si>
  <si>
    <t>ENSP00000344041,ENSP00000469900,ENSP00000472198,ENSP00000469430</t>
  </si>
  <si>
    <t>Homo sapiens signal sequence receptor, delta (SSR4)</t>
  </si>
  <si>
    <t>NM_001204527,NM_006280,NM_001204526,NR_037927</t>
  </si>
  <si>
    <t>NP_001191456.1,NP_006271.1,NP_001191455.1,-</t>
  </si>
  <si>
    <t>ENST00000320857,ENST00000491833,ENST00000370087,ENST00000482902,ENST00000370086,ENST00000460616,ENST00000370085,ENST00000471724,ENST00000471880,ENST00000486204,ENST00000485612,ENST00000447375</t>
  </si>
  <si>
    <t>ENSP00000317331,ENSP00000359104,ENSP00000359103,ENSP00000359102</t>
  </si>
  <si>
    <t>NM_004552,NM_001184979</t>
  </si>
  <si>
    <t>NP_004543.1,NP_001171908.1</t>
  </si>
  <si>
    <t>ENST00000372969,ENST00000372967</t>
  </si>
  <si>
    <t>ENSP00000362060,ENSP00000362058</t>
  </si>
  <si>
    <t>NM_015964,NM_016140</t>
  </si>
  <si>
    <t>NP_057048.2,NP_057224.2</t>
  </si>
  <si>
    <t>ENST00000393957,ENST00000564104,ENST00000290942,ENST00000562206,ENST00000561537</t>
  </si>
  <si>
    <t>ENSP00000377529,ENSP00000462435,ENSP00000290942,ENSP00000457275</t>
  </si>
  <si>
    <t>ENST00000589328,ENST00000409746,ENST00000588801,ENST00000593086,ENST00000591729,ENST00000587042</t>
  </si>
  <si>
    <t>ENSP00000468622,ENSP00000387261</t>
  </si>
  <si>
    <t>NM_001048265,NM_144654</t>
  </si>
  <si>
    <t>NP_001041730.1,NP_653255.1</t>
  </si>
  <si>
    <t>ENST00000429260,ENST00000371789,ENST00000371791,ENST00000371786,ENST00000419770</t>
  </si>
  <si>
    <t>ENSP00000395281,ENSP00000360854,ENSP00000360856,ENSP00000396392</t>
  </si>
  <si>
    <t>ENST00000293405,ENST00000600293,ENST00000486050,ENST00000594854</t>
  </si>
  <si>
    <t>ENSP00000293405,ENSP00000472657,ENSP00000470525,ENSP00000469026</t>
  </si>
  <si>
    <t>ENST00000374212,ENST00000496650</t>
  </si>
  <si>
    <t>NM_033117,NR_027126,NR_027125</t>
  </si>
  <si>
    <t>NP_149108.1,-,-</t>
  </si>
  <si>
    <t>ENST00000417201,ENST00000491850,ENST00000483428</t>
  </si>
  <si>
    <t>ENST00000525141,ENST00000298966,ENST00000527149,ENST00000529714,ENST00000526869,ENST00000596676</t>
  </si>
  <si>
    <t>ENSP00000431781,ENSP00000298966,ENSP00000433555,ENSP00000432581,ENSP00000435827,ENSP00000479594</t>
  </si>
  <si>
    <t>ENST00000271638,ENST00000478109</t>
  </si>
  <si>
    <t>NM_170739,NM_170738,NM_016050</t>
  </si>
  <si>
    <t>NP_733935.1,NP_733934.1,NP_057134.1</t>
  </si>
  <si>
    <t>ENST00000310999,ENST00000430466,ENST00000524576,ENST00000528272,ENST00000534488,ENST00000329819</t>
  </si>
  <si>
    <t>ENSP00000308897,ENSP00000415356,ENSP00000431405,ENSP00000436904,ENSP00000329630</t>
  </si>
  <si>
    <t>Homo sapiens chloride channel, voltage-sensitive 2 (CLCN2)</t>
  </si>
  <si>
    <t>NM_001171087,NM_001171088,NM_001171089,NM_004366</t>
  </si>
  <si>
    <t>NP_001164558.1,NP_001164559.1,NP_001164560.1,NP_004357.3</t>
  </si>
  <si>
    <t>ENST00000265593,ENST00000344937,ENST00000430397,ENST00000434054,ENST00000457512,ENST00000491162,ENST00000485667,ENST00000475279,ENST00000465231</t>
  </si>
  <si>
    <t>ENSP00000265593,ENSP00000345056,ENSP00000396231,ENSP00000400425,ENSP00000391928</t>
  </si>
  <si>
    <t>ENST00000378979,ENST00000303142,ENST00000445603,ENST00000442185</t>
  </si>
  <si>
    <t>ENSP00000368263,ENSP00000305875,ENSP00000399331,ENSP00000410534</t>
  </si>
  <si>
    <t>Homo sapiens BRICK1, SCAR/WAVE actin-nucleating complex subunit (BRK1)</t>
  </si>
  <si>
    <t>NM_176867,NM_176866,NM_006903,NM_176869</t>
  </si>
  <si>
    <t>NP_789843.2,NP_789842.2,NP_008834.3,NP_789845.1</t>
  </si>
  <si>
    <t>ENST00000341695,ENST00000348706,ENST00000509031,ENST00000513605,ENST00000515567,ENST00000354147,ENST00000432483,ENST00000351450,ENST00000503171,ENST00000510015,ENST00000509426,ENST00000508518,ENST00000514209,ENST00000506815,ENST00000457404,ENST00000502833,ENST00000504028,ENST00000502596,ENST00000513649,ENST00000499847,ENST00000502610,ENST00000505713</t>
  </si>
  <si>
    <t>ENSP00000343885,ENSP00000313061,ENSP00000423467,ENSP00000427375,ENSP00000340352,ENSP00000389957,ENSP00000273977,ENSP00000423363,ENSP00000423889,ENSP00000424988,ENSP00000422405,ENSP00000421177,ENSP00000426347,ENSP00000422738</t>
  </si>
  <si>
    <t>ENST00000215061,ENST00000602236,ENST00000601576,ENST00000601529,ENST00000599588,ENST00000594283,ENST00000600232,ENST00000597836,ENST00000598068,ENST00000596279,ENST00000598172,ENST00000599286,ENST00000595769,ENST00000595573,ENST00000600826</t>
  </si>
  <si>
    <t>ENSP00000215061,ENSP00000471201,ENSP00000469261,ENSP00000470270,ENSP00000471311,ENSP00000470258,ENSP00000471742,ENSP00000470883,ENSP00000469624</t>
  </si>
  <si>
    <t>Homo sapiens retinol binding protein 7, cellular (RBP7)</t>
  </si>
  <si>
    <t>ENST00000315901,ENST00000294435</t>
  </si>
  <si>
    <t>ENSP00000324228,ENSP00000294435</t>
  </si>
  <si>
    <t>NM_001002018,NM_001002017,NM_017885</t>
  </si>
  <si>
    <t>NP_001002018.1,NP_001002017.1,NP_060355.1</t>
  </si>
  <si>
    <t>ENST00000248089,ENST00000574151,ENST00000576921,ENST00000573095,ENST00000572355,ENST00000575214,ENST00000574980,ENST00000354679,ENST00000573842</t>
  </si>
  <si>
    <t>ENSP00000248089,ENSP00000459178,ENSP00000458971,ENSP00000460639,ENSP00000346708,ENSP00000458628</t>
  </si>
  <si>
    <t>ENST00000496700,ENST00000330233,ENST00000409393,ENST00000392531,ENST00000460900,ENST00000461556</t>
  </si>
  <si>
    <t>ENSP00000332449,ENSP00000386340,ENSP00000376315</t>
  </si>
  <si>
    <t>ENST00000418842,ENST00000483769,ENST00000497568,ENST00000492913,ENST00000375497</t>
  </si>
  <si>
    <t>ENSP00000387662,ENSP00000364647</t>
  </si>
  <si>
    <t>ENST00000449367,ENST00000482199,ENST00000474120,ENST00000442303,ENST00000463406,ENST00000223136,ENST00000473527,ENST00000435848,ENST00000480497</t>
  </si>
  <si>
    <t>ENSP00000411442,ENSP00000442056,ENSP00000395964,ENSP00000223136,ENSP00000444771,ENSP00000413500</t>
  </si>
  <si>
    <t>NM_001242546,NM_001242548,NM_173473,NM_001242547,NR_038392,NR_038391</t>
  </si>
  <si>
    <t>NP_001229475.1,NP_001229477.1,NP_775744.1,NP_001229476.1,-,-</t>
  </si>
  <si>
    <t>ENST00000478193,ENST00000299381,ENST00000470481,ENST00000615507,ENST00000621663</t>
  </si>
  <si>
    <t>ENSP00000299381,ENSP00000478792,ENSP00000477760</t>
  </si>
  <si>
    <t>NM_001126118,NM_001126114,NM_001126113,NM_001126112,NM_000546,NM_001126117,NM_001126116,NM_001126115</t>
  </si>
  <si>
    <t>NP_001119590.1,NP_001119586.1,NP_001119585.1,NP_001119584.1,NP_000537.3,NP_001119589.1,NP_001119588.1,NP_001119587.1</t>
  </si>
  <si>
    <t>ENST00000413465,ENST00000359597,ENST00000504290,ENST00000510385,ENST00000504937,ENST00000619186,ENST00000618944,ENST00000610623,ENST00000610292,ENST00000269305,ENST00000620739,ENST00000455263,ENST00000420246,ENST00000622645,ENST00000610538,ENST00000445888,ENST00000619485,ENST00000576024,ENST00000509690,ENST00000514944,ENST00000574684,ENST00000505014,ENST00000508793,ENST00000604348,ENST00000503591,ENST00000617185,ENST00000615910</t>
  </si>
  <si>
    <t>ENSP00000410739,ENSP00000352610,ENSP00000484409,ENSP00000478499,ENSP00000481179,ENSP00000484375,ENSP00000481401,ENSP00000477531,ENSP00000478219,ENSP00000269305,ENSP00000481638,ENSP00000398846,ENSP00000391127,ENSP00000482222,ENSP00000480868,ENSP00000391478,ENSP00000482537,ENSP00000458393,ENSP00000425104,ENSP00000423862,ENSP00000424104,ENSP00000473895,ENSP00000426252,ENSP00000482258,ENSP00000482903</t>
  </si>
  <si>
    <t>ENST00000084798,ENST00000599267,ENST00000594088,ENST00000596080</t>
  </si>
  <si>
    <t>ENSP00000084798,ENSP00000469234</t>
  </si>
  <si>
    <t>NM_001244390,NM_147173,NM_147172,NM_001161</t>
  </si>
  <si>
    <t>NP_001231319.1,NP_671702.1,NP_671701.1,NP_001152.1</t>
  </si>
  <si>
    <t>ENST00000379158,ENST00000346365,ENST00000379155,ENST00000618590</t>
  </si>
  <si>
    <t>ENSP00000368455,ENSP00000344187,ENSP00000368452,ENSP00000482384</t>
  </si>
  <si>
    <t>ENST00000218230,ENST00000611033</t>
  </si>
  <si>
    <t>ENST00000533507,ENST00000263774,ENST00000529276,ENST00000528192,ENST00000530295,ENST00000534208,ENST00000534716,ENST00000533105,ENST00000524568,ENST00000531351,ENST00000525378,ENST00000525212,ENST00000527178</t>
  </si>
  <si>
    <t>ENSP00000263774,ENSP00000433753,ENSP00000432099,ENSP00000431588,ENSP00000433405,ENSP00000434970</t>
  </si>
  <si>
    <t>ENST00000258105,ENST00000409710,ENST00000467349,ENST00000468875</t>
  </si>
  <si>
    <t>ENSP00000258105,ENSP00000386920</t>
  </si>
  <si>
    <t>Homo sapiens peroxisomal membrane protein 2, 22kDa (PXMP2)</t>
  </si>
  <si>
    <t>ENST00000317479,ENST00000543589,ENST00000539093,ENST00000428960,ENST00000454379</t>
  </si>
  <si>
    <t>ENSP00000321271,ENSP00000446049,ENSP00000444486,ENSP00000398708,ENSP00000484702</t>
  </si>
  <si>
    <t>ENST00000333130,ENST00000443660,ENST00000471259</t>
  </si>
  <si>
    <t>ENST00000246554,ENST00000592141,ENST00000392201,ENST00000590618</t>
  </si>
  <si>
    <t>ENSP00000246554,ENSP00000466818,ENSP00000376037,ENSP00000467776</t>
  </si>
  <si>
    <t>ENST00000373237,ENST00000630477,ENST00000621781</t>
  </si>
  <si>
    <t>ENSP00000362334,ENSP00000479706</t>
  </si>
  <si>
    <t>ENST00000626748,ENST00000630091</t>
  </si>
  <si>
    <t>NM_001173982,NM_018413</t>
  </si>
  <si>
    <t>NP_001167453.1,NP_060883.1</t>
  </si>
  <si>
    <t>ENST00000550711,ENST00000547956,ENST00000549260,ENST00000303694,ENST00000546689,ENST00000549016</t>
  </si>
  <si>
    <t>ENSP00000449093,ENSP00000450004,ENSP00000305725,ENSP00000448678,ENSP00000449095</t>
  </si>
  <si>
    <t>ENST00000253462,ENST00000595355,ENST00000596233</t>
  </si>
  <si>
    <t>ENSP00000253462,ENSP00000470984,ENSP00000469346</t>
  </si>
  <si>
    <t>ENST00000567193,ENST00000563168,ENST00000304800,ENST00000566486,ENST00000563953,ENST00000561586,ENST00000562235,ENST00000565201,ENST00000564087,ENST00000563426,ENST00000563271,ENST00000564649</t>
  </si>
  <si>
    <t>ENSP00000305892,ENSP00000462217,ENSP00000457502,ENSP00000454579,ENSP00000464439</t>
  </si>
  <si>
    <t>Homo sapiens Niemann-Pick disease, type C2 (NPC2)</t>
  </si>
  <si>
    <t>ENST00000434013,ENST00000541064,ENST00000555619,ENST00000554482,ENST00000238633,ENST00000553490,ENST00000556009,ENST00000557510,ENST00000555592</t>
  </si>
  <si>
    <t>ENSP00000412103,ENSP00000442488,ENSP00000451112,ENSP00000451314,ENSP00000238633,ENSP00000451180,ENSP00000450502,ENSP00000451206,ENSP00000450887</t>
  </si>
  <si>
    <t>NM_001243750,NM_181843</t>
  </si>
  <si>
    <t>NP_001230679.1,NP_862826.1</t>
  </si>
  <si>
    <t>ENST00000301490,ENST00000376693,ENST00000534054</t>
  </si>
  <si>
    <t>ENSP00000301490,ENSP00000365883</t>
  </si>
  <si>
    <t>ENST00000557016,ENST00000216520,ENST00000557697,ENST00000555373</t>
  </si>
  <si>
    <t>ENSP00000451080,ENSP00000450503</t>
  </si>
  <si>
    <t>NM_001145526,NM_001010982</t>
  </si>
  <si>
    <t>NP_001138998.1,NP_001010982.2</t>
  </si>
  <si>
    <t>ENST00000409257,ENST00000591256,ENST00000589256,ENST00000592988,ENST00000589107,ENST00000588199,ENST00000588800,ENST00000591952,ENST00000327898,ENST00000586542,ENST00000586731,ENST00000591538,ENST00000587750,ENST00000589664,ENST00000585419</t>
  </si>
  <si>
    <t>ENSP00000386890,ENSP00000466515,ENSP00000466859,ENSP00000467869,ENSP00000465406,ENSP00000464929,ENSP00000467365,ENSP00000328938,ENSP00000466566,ENSP00000466241</t>
  </si>
  <si>
    <t>Homo sapiens histone cluster 2, H2ab (HIST2H2AB)</t>
  </si>
  <si>
    <t>ENST00000482853,ENST00000479950,ENST00000463088,ENST00000373154,ENST00000424266,ENST00000480585,ENST00000482515,ENST00000464633,ENST00000468811,ENST00000486443,ENST00000488238,ENST00000465893,ENST00000469104,ENST00000471367,ENST00000467234,ENST00000628419</t>
  </si>
  <si>
    <t>NM_175902,NR_033265,NM_024648</t>
  </si>
  <si>
    <t>NP_787098.3,-,NP_078924.1</t>
  </si>
  <si>
    <t>ENST00000313056,ENST00000578586,ENST00000582146,ENST00000329197,ENST00000578287,ENST00000583897,ENST00000580445,ENST00000579407,ENST00000583445,ENST00000582593,ENST00000577495,ENST00000577606</t>
  </si>
  <si>
    <t>ENSP00000320116,ENSP00000330075,ENSP00000464195,ENSP00000463566,ENSP00000467074,ENSP00000466117,ENSP00000466184</t>
  </si>
  <si>
    <t>ENST00000252825,ENST00000598858,ENST00000595625,ENST00000595167</t>
  </si>
  <si>
    <t>ENSP00000252825,ENSP00000469659,ENSP00000470288</t>
  </si>
  <si>
    <t>Homo sapiens RAS-like, family 10, member B (RASL10B)</t>
  </si>
  <si>
    <t>ENST00000603017,ENST00000603498</t>
  </si>
  <si>
    <t>ENST00000448741,ENST00000607197,ENST00000367697,ENST00000453452</t>
  </si>
  <si>
    <t>ENSP00000392101,ENSP00000475750,ENSP00000356670,ENSP00000395958</t>
  </si>
  <si>
    <t>ENST00000371378,ENST00000194214,ENST00000489675,ENST00000371377,ENST00000371376,ENST00000488884</t>
  </si>
  <si>
    <t>ENSP00000360429,ENSP00000194214,ENSP00000360428,ENSP00000360427</t>
  </si>
  <si>
    <t>ENST00000506693,ENST00000358149,ENST00000512315,ENST00000503425,ENST00000508155,ENST00000511834,ENST00000513587,ENST00000503039,ENST00000510933,ENST00000504600</t>
  </si>
  <si>
    <t>ENSP00000423515,ENSP00000350869,ENSP00000421089,ENSP00000421212,ENSP00000421388,ENSP00000425725,ENSP00000423690,ENSP00000424495</t>
  </si>
  <si>
    <t>Homo sapiens cylicin, basic protein of sperm head cytoskeleton 1 (CYLC1)</t>
  </si>
  <si>
    <t>NM_001271680,NM_021118</t>
  </si>
  <si>
    <t>NP_001258609.1,NP_066941.1</t>
  </si>
  <si>
    <t>ENST00000329312,ENST00000621735</t>
  </si>
  <si>
    <t>ENSP00000331556,ENSP00000480907</t>
  </si>
  <si>
    <t>NM_001040007,NM_001029871</t>
  </si>
  <si>
    <t>NP_001035096.1,NP_001025042.2</t>
  </si>
  <si>
    <t>ENST00000217260,ENST00000400634</t>
  </si>
  <si>
    <t>ENSP00000217260,ENSP00000383475</t>
  </si>
  <si>
    <t>XR_934242,XR_934241,XR_934240,XR_917920,XR_917918</t>
  </si>
  <si>
    <t>ENST00000242159,ENST00000523796,ENST00000519842</t>
  </si>
  <si>
    <t>ENSP00000242159,ENSP00000428563</t>
  </si>
  <si>
    <t>NM_001258282,NM_152570</t>
  </si>
  <si>
    <t>NP_001245211.1,NP_689783.1</t>
  </si>
  <si>
    <t>ENST00000379992,ENST00000493941,ENST00000613945,ENST00000308675</t>
  </si>
  <si>
    <t>ENSP00000369328,ENSP00000479634,ENSP00000310126</t>
  </si>
  <si>
    <t>NM_052873,NM_001255995,NM_001102564,NR_045665,NR_045664</t>
  </si>
  <si>
    <t>NP_443105.2,NP_001242924.1,NP_001096034.1,-,-</t>
  </si>
  <si>
    <t>ENST00000555677,ENST00000542766,ENST00000554026,ENST00000555305,ENST00000555370,ENST00000238628,ENST00000556742,ENST00000553338,ENST00000553438,ENST00000554423,ENST00000554233,ENST00000314067</t>
  </si>
  <si>
    <t>ENSP00000440064,ENSP00000452051,ENSP00000238628,ENSP00000451096,ENSP00000324177</t>
  </si>
  <si>
    <t>ENST00000445649,ENST00000447036,ENST00000233379,ENST00000418606,ENST00000463940,ENST00000470100|ENST00000414820,ENST00000272610,ENST00000474849,ENST00000463096,ENST00000468548,ENST00000483657</t>
  </si>
  <si>
    <t>ENSP00000405148,ENSP00000406424,ENSP00000233379,ENSP00000390528|ENSP00000410470,ENSP00000272610</t>
  </si>
  <si>
    <t>NM_013232,NM_001267558,NM_001267556</t>
  </si>
  <si>
    <t>NP_037364.1,NP_001254487.1,NP_001254485.1</t>
  </si>
  <si>
    <t>ENST00000264933,ENST00000515587,ENST00000513582,ENST00000505221,ENST00000509581,ENST00000507528,ENST00000505526,ENST00000506909,ENST00000507473,ENST00000511482,ENST00000512466,ENST00000614778,ENST00000618970,ENST00000628729</t>
  </si>
  <si>
    <t>ENSP00000264933,ENSP00000422085,ENSP00000422691,ENSP00000423815,ENSP00000424201,ENSP00000426003,ENSP00000425370,ENSP00000485024,ENSP00000482332,ENSP00000485941</t>
  </si>
  <si>
    <t>ENST00000482954,ENST00000476279,ENST00000247866,ENST00000461457,ENST00000465506,ENST00000464564,ENST00000476181,ENST00000464566,ENST00000460088,ENST00000472695,ENST00000476470,ENST00000471136,ENST00000462847,ENST00000475276,ENST00000479181</t>
  </si>
  <si>
    <t>ENSP00000419392,ENSP00000419087,ENSP00000247866,ENSP00000420062,ENSP00000419357,ENSP00000418347,ENSP00000419479,ENSP00000418953,ENSP00000418573,ENSP00000420377,ENSP00000419983,ENSP00000418981</t>
  </si>
  <si>
    <t>ENST00000324768,ENST00000495455,ENST00000486966</t>
  </si>
  <si>
    <t>ENST00000264228,ENST00000505210,ENST00000514398</t>
  </si>
  <si>
    <t>ENSP00000264228,ENSP00000424714</t>
  </si>
  <si>
    <t>ENST00000373020,ENST00000496771,ENST00000494424,ENST00000612152,ENST00000614008</t>
  </si>
  <si>
    <t>ENSP00000362111,ENSP00000482130,ENSP00000482894</t>
  </si>
  <si>
    <t>ENST00000587834,ENST00000509791,ENST00000299714,ENST00000585864,ENST00000593132,ENST00000592774,ENST00000588875,ENST00000591406</t>
  </si>
  <si>
    <t>ENSP00000468633,ENSP00000482872,ENSP00000299714,ENSP00000465281</t>
  </si>
  <si>
    <t>Homo sapiens casein kinase 2, beta polypeptide (CSNK2B)</t>
  </si>
  <si>
    <t>ENST00000400116,ENST00000383433,ENST00000486289,ENST00000464582,ENST00000481308,ENST00000464220,ENST00000383431,ENST00000383427,ENST00000400110,ENST00000620798,ENST00000614783,ENST00000621953</t>
  </si>
  <si>
    <t>ENSP00000382984,ENSP00000372925,ENSP00000372923,ENSP00000372919,ENSP00000382980,ENSP00000477593,ENSP00000483317,ENSP00000478364</t>
  </si>
  <si>
    <t>Homo sapiens runt-related transcription factor 1; translocated to, 1 (cyclin D-related)</t>
  </si>
  <si>
    <t>NM_001198628,NM_001198627,NM_001198625,NM_175635,NM_001198679,NM_001198634,NM_001198633,NM_001198632,NM_001198631,NM_001198630,NM_001198629,NM_001198626,NM_175636,NM_175634,NM_004349</t>
  </si>
  <si>
    <t>NP_001185557.1,NP_001185556.1,NP_001185554.1,NP_783553.1,NP_001185608.1,NP_001185563.1,NP_001185562.1,NP_001185561.1,NP_001185560.1,NP_001185559.1,NP_001185558.1,NP_001185555.1,NP_783554.1,NP_783552.1,NP_004340.1</t>
  </si>
  <si>
    <t>ENST00000523629,ENST00000396218,ENST00000360348,ENST00000422361,ENST00000520724,ENST00000521078,ENST00000518844,ENST00000521751,ENST00000520978,ENST00000518361,ENST00000520047,ENST00000521553,ENST00000522316,ENST00000518992,ENST00000521054,ENST00000523290,ENST00000519847,ENST00000517792,ENST00000522467,ENST00000517919,ENST00000521733,ENST00000520556,ENST00000521319,ENST00000520583,ENST00000523168,ENST00000519577,ENST00000518823,ENST00000521897,ENST00000518317,ENST00000521375,ENST00000519422,ENST00000524215,ENST00000520974,ENST00000518832,ENST00000520172,ENST00000517493,ENST00000522065,ENST00000518954,ENST00000519061,ENST00000518256,ENST00000520428,ENST00000522163,ENST00000521902,ENST00000522860,ENST00000518449,ENST00000613886,ENST00000617740,ENST00000613302,ENST00000615601,ENST00000436581,ENST00000614812,ENST00000265814</t>
  </si>
  <si>
    <t>ENSP00000428543,ENSP00000379520,ENSP00000353504,ENSP00000390137,ENSP00000428742,ENSP00000430728,ENSP00000430778,ENSP00000429085,ENSP00000430863,ENSP00000429728,ENSP00000431094,ENSP00000427763,ENSP00000430204,ENSP00000429940,ENSP00000429532,ENSP00000429506,ENSP00000430637,ENSP00000428100,ENSP00000429137,ENSP00000430070,ENSP00000429118,ENSP00000430084,ENSP00000428475,ENSP00000429653,ENSP00000429062,ENSP00000429666,ENSP00000429587,ENSP00000429034,ENSP00000429375,ENSP00000429864,ENSP00000430080,ENSP00000430334,ENSP00000429857,ENSP00000428133,ENSP00000478331,ENSP00000481112,ENSP00000481799,ENSP00000480500,ENSP00000402257,ENSP00000481315,ENSP00000265814</t>
  </si>
  <si>
    <t>ENST00000392365,ENST00000426055,ENST00000481132,ENST00000435414,ENST00000409676,ENST00000339091,ENST00000481389,ENST00000437725,ENST00000421427,ENST00000453013,ENST00000417013,ENST00000420747,ENST00000233156</t>
  </si>
  <si>
    <t>ENSP00000376172,ENSP00000397248,ENSP00000409177,ENSP00000386344,ENSP00000342306,ENSP00000388159,ENSP00000408170,ENSP00000394185,ENSP00000400179,ENSP00000402954,ENSP00000233156</t>
  </si>
  <si>
    <t>NM_001146702,NM_004187</t>
  </si>
  <si>
    <t>NP_001140174.1,NP_004178.2</t>
  </si>
  <si>
    <t>ENST00000375401,ENST00000404049,ENST00000375379,ENST00000375383,ENST00000477109,ENST00000497100,ENST00000465402,ENST00000481369,ENST00000497995,ENST00000429877,ENST00000495519,ENST00000467093,ENST00000428012,ENST00000349663,ENST00000452825</t>
  </si>
  <si>
    <t>ENSP00000364550,ENSP00000385394,ENSP00000364528,ENSP00000364532,ENSP00000409757,ENSP00000407277,ENSP00000344004,ENSP00000445176</t>
  </si>
  <si>
    <t>NM_001131063,NM_001131062,NM_024632,NR_024084</t>
  </si>
  <si>
    <t>NP_001124535.1,NP_001124534.1,NP_078908.1,-</t>
  </si>
  <si>
    <t>ENST00000297109,ENST00000523198,ENST00000440364,ENST00000426761,ENST00000520159,ENST00000519683,ENST00000523029,ENST00000520731,ENST00000517926</t>
  </si>
  <si>
    <t>ENSP00000297109,ENSP00000390927,ENSP00000416393</t>
  </si>
  <si>
    <t>ENST00000216492,ENST00000556076,ENST00000334654,ENST00000553866,ENST00000556098,ENST00000556876</t>
  </si>
  <si>
    <t>ENSP00000216492,ENSP00000450801,ENSP00000334023</t>
  </si>
  <si>
    <t>ENST00000482640,ENST00000264265</t>
  </si>
  <si>
    <t>ENSP00000419373,ENSP00000264265</t>
  </si>
  <si>
    <t>ENST00000558453,ENST00000560807,ENST00000558412,ENST00000559332,ENST00000559940,ENST00000558311,ENST00000267973,ENST00000558459,ENST00000560569,ENST00000560610,ENST00000559848,ENST00000560063,ENST00000559700,ENST00000558840,ENST00000560946,ENST00000561347</t>
  </si>
  <si>
    <t>ENSP00000453118,ENSP00000455689,ENSP00000453801,ENSP00000267973,ENSP00000453024,ENSP00000453902,ENSP00000453493,ENSP00000453589</t>
  </si>
  <si>
    <t>ENST00000306422,ENST00000515716</t>
  </si>
  <si>
    <t>ENST00000559514,ENST00000559504,ENST00000560326,ENST00000216756,ENST00000536961,ENST00000541568,ENST00000561468,ENST00000558764,ENST00000558523</t>
  </si>
  <si>
    <t>ENSP00000453839,ENSP00000453846,ENSP00000216756,ENSP00000442057,ENSP00000442377,ENSP00000452982</t>
  </si>
  <si>
    <t>NM_198679,NM_005312</t>
  </si>
  <si>
    <t>NP_941372.1,NP_005303.2</t>
  </si>
  <si>
    <t>ENST00000372189,ENST00000372195,ENST00000372190,ENST00000414781,ENST00000419442,ENST00000481260,ENST00000438647</t>
  </si>
  <si>
    <t>ENSP00000361263,ENSP00000361269,ENSP00000361264,ENSP00000407210,ENSP00000394296,ENSP00000410640</t>
  </si>
  <si>
    <t>ENST00000328649,ENST00000612800</t>
  </si>
  <si>
    <t>ENSP00000333873,ENSP00000479860</t>
  </si>
  <si>
    <t>ENST00000400546,ENST00000486367,ENST00000461281,ENST00000484983,ENST00000284894</t>
  </si>
  <si>
    <t>ENSP00000383392,ENSP00000284894</t>
  </si>
  <si>
    <t>Homo sapiens eukaryotic translation initiation factor 3, subunit K (EIF3K)</t>
  </si>
  <si>
    <t>ENST00000593149,ENST00000248342,ENST00000586932,ENST00000593062,ENST00000538434,ENST00000588934,ENST00000545173,ENST00000588422,ENST00000586513,ENST00000591409,ENST00000592558,ENST00000588299,ENST00000590134,ENST00000614624</t>
  </si>
  <si>
    <t>ENSP00000465460,ENSP00000248342,ENSP00000440999,ENSP00000468525,ENSP00000438145,ENSP00000467895,ENSP00000468231,ENSP00000479334</t>
  </si>
  <si>
    <t>ENST00000475665,ENST00000296471,ENST00000488336,ENST00000463537,ENST00000477224,ENST00000487726,ENST00000467248,ENST00000466940,ENST00000478149,ENST00000466535,ENST00000483811,ENST00000480398,ENST00000472895,ENST00000479704,ENST00000498324,ENST00000476105,ENST00000620470</t>
  </si>
  <si>
    <t>ENSP00000296471,ENSP00000418809,ENSP00000417614,ENSP00000419195,ENSP00000420139,ENSP00000420053,ENSP00000420724,ENSP00000420766,ENSP00000420000,ENSP00000484045</t>
  </si>
  <si>
    <t>Homo sapiens ubiquinol-cytochrome c reductase, complex III subunit VII, 9.5kDa (UQCRQ)</t>
  </si>
  <si>
    <t>ENST00000378670,ENST00000378667,ENST00000498309,ENST00000496429,ENST00000378665,ENST00000480372</t>
  </si>
  <si>
    <t>ENSP00000367939,ENSP00000367936,ENSP00000367934</t>
  </si>
  <si>
    <t>ENST00000627282,ENST00000273064,ENST00000433439,ENST00000432877,ENST00000295701,ENST00000489687,ENST00000473626,ENST00000418808,ENST00000542068</t>
  </si>
  <si>
    <t>ENSP00000486540,ENSP00000273064,ENSP00000415607,ENSP00000392394,ENSP00000295701,ENSP00000396938,ENSP00000443687</t>
  </si>
  <si>
    <t>NM_024097,NR_040733</t>
  </si>
  <si>
    <t>NP_077002.2,-</t>
  </si>
  <si>
    <t>ENST00000372525,ENST00000464081,ENST00000603943,ENST00000468913,ENST00000494155</t>
  </si>
  <si>
    <t>ENSP00000361603,ENSP00000473339,ENSP00000473874</t>
  </si>
  <si>
    <t>Homo sapiens LSM6 homolog, U6 small nuclear RNA associated (S. cerevisiae)</t>
  </si>
  <si>
    <t>ENST00000296581,ENST00000515311,ENST00000503982,ENST00000502781,ENST00000504181,ENST00000510331,ENST00000507449</t>
  </si>
  <si>
    <t>ENSP00000296581,ENSP00000427036,ENSP00000422392,ENSP00000420929</t>
  </si>
  <si>
    <t>Homo sapiens bromodomain adjacent to zinc finger domain, 2A (BAZ2A)</t>
  </si>
  <si>
    <t>ENST00000379441,ENST00000551812,ENST00000549787,ENST00000549884,ENST00000553222,ENST00000547453,ENST00000551759,ENST00000549763,ENST00000548578,ENST00000547650,ENST00000551996,ENST00000549327,ENST00000547647,ENST00000551959,ENST00000546695,ENST00000549506,ENST00000550730</t>
  </si>
  <si>
    <t>ENSP00000368754,ENSP00000446880,ENSP00000448760,ENSP00000447941,ENSP00000447314,ENSP00000449473,ENSP00000447591,ENSP00000449496,ENSP00000447248</t>
  </si>
  <si>
    <t>Homo sapiens thymidine kinase 1, soluble (TK1)</t>
  </si>
  <si>
    <t>ENST00000301634,ENST00000588734,ENST00000590862,ENST00000590430,ENST00000586613,ENST00000592126</t>
  </si>
  <si>
    <t>ENSP00000301634,ENSP00000468425,ENSP00000468556,ENSP00000467121,ENSP00000468278</t>
  </si>
  <si>
    <t>ENST00000498485,ENST00000259457,ENST00000474081,ENST00000478817,ENST00000441097,ENST00000466951</t>
  </si>
  <si>
    <t>ENSP00000259457,ENSP00000393157</t>
  </si>
  <si>
    <t>ENST00000600132,ENST00000597689,ENST00000262970,ENST00000595928,ENST00000595096,ENST00000318934</t>
  </si>
  <si>
    <t>ENSP00000471252,ENSP00000470227,ENSP00000262970,ENSP00000471346,ENSP00000321731</t>
  </si>
  <si>
    <t>Homo sapiens clathrin, light chain A (CLTA)</t>
  </si>
  <si>
    <t>NM_001184762,NM_001184761,NM_001184760,NM_001076677,NM_007096,NM_001833</t>
  </si>
  <si>
    <t>NP_001171691.1,NP_001171690.1,NP_001171689.1,NP_001070145.1,NP_009027.1,NP_001824.1</t>
  </si>
  <si>
    <t>ENST00000345519,ENST00000464497,ENST00000470744,ENST00000242285,ENST00000466396,ENST00000396603,ENST00000493185,ENST00000540080,ENST00000433436,ENST00000538225</t>
  </si>
  <si>
    <t>ENSP00000242284,ENSP00000419158,ENSP00000419746,ENSP00000242285,ENSP00000417698,ENSP00000379848,ENSP00000474266,ENSP00000437508,ENSP00000401019,ENSP00000442869</t>
  </si>
  <si>
    <t>NR_045958,NM_001256283,NM_001166055,NM_001957</t>
  </si>
  <si>
    <t>-,NP_001243212.1,NP_001159527.1,NP_001948.1</t>
  </si>
  <si>
    <t>ENST00000511804,ENST00000324300,ENST00000510697,ENST00000506066,ENST00000514245,ENST00000503721,ENST00000358556</t>
  </si>
  <si>
    <t>ENSP00000425354,ENSP00000315011,ENSP00000427259,ENSP00000425281,ENSP00000351359</t>
  </si>
  <si>
    <t>ENST00000367889,ENST00000367888,ENST00000461308,ENST00000460632,ENST00000495447,ENST00000367885,ENST00000367884,ENST00000488688,ENST00000367883,ENST00000461759,ENST00000609263,ENST00000477450,ENST00000494074,ENST00000627653</t>
  </si>
  <si>
    <t>ENSP00000356864,ENSP00000356863,ENSP00000356860,ENSP00000356859,ENSP00000356858,ENSP00000487151</t>
  </si>
  <si>
    <t>ENST00000389622,ENST00000495403,ENST00000485253</t>
  </si>
  <si>
    <t>ENSP00000374273,ENSP00000418420</t>
  </si>
  <si>
    <t>ENST00000588234,ENST00000221576,ENST00000588858,ENST00000588841,ENST00000592760,ENST00000593274</t>
  </si>
  <si>
    <t>ENSP00000465432,ENSP00000221576,ENSP00000466736,ENSP00000464785,ENSP00000464891,ENSP00000468676</t>
  </si>
  <si>
    <t>Homo sapiens NACC family member 2, BEN and BTB (POZ)</t>
  </si>
  <si>
    <t>ENST00000371753,ENST00000467669,ENST00000277554</t>
  </si>
  <si>
    <t>ENSP00000360818,ENSP00000277554</t>
  </si>
  <si>
    <t>ENST00000260447,ENST00000561160,ENST00000558670,ENST00000559445,ENST00000559932,ENST00000558467</t>
  </si>
  <si>
    <t>ENSP00000260447,ENSP00000454067,ENSP00000477896,ENSP00000453871,ENSP00000454195,ENSP00000453640</t>
  </si>
  <si>
    <t>ENST00000174618,ENST00000575374,ENST00000572892,ENST00000571232,ENST00000573384,ENST00000575394,ENST00000575402,ENST00000574559,ENST00000571836</t>
  </si>
  <si>
    <t>ENSP00000174618,ENSP00000476269</t>
  </si>
  <si>
    <t>ENST00000461361,ENST00000477865,ENST00000482004,ENST00000265564,ENST00000467846,ENST00000468667,ENST00000491476,ENST00000481405,ENST00000498168,ENST00000486727,ENST00000459856</t>
  </si>
  <si>
    <t>ENST00000263921,ENST00000512964,ENST00000510894,ENST00000509678</t>
  </si>
  <si>
    <t>ENSP00000263921,ENSP00000425238,ENSP00000421032</t>
  </si>
  <si>
    <t>ENST00000564365,ENST00000567895,ENST00000301021,ENST00000564547,ENST00000562792,ENST00000565504,ENST00000565205,ENST00000567312,ENST00000568583,ENST00000564404,ENST00000561840,ENST00000565309,ENST00000562125,ENST00000563514,ENST00000625770</t>
  </si>
  <si>
    <t>ENSP00000455447,ENSP00000457684,ENSP00000301021,ENSP00000455273,ENSP00000455100,ENSP00000454927,ENSP00000455235,ENSP00000457728,ENSP00000455392,ENSP00000455892,ENSP00000487584</t>
  </si>
  <si>
    <t>NM_001005367,NM_001201461,NM_020659</t>
  </si>
  <si>
    <t>NP_001005367.1,NP_001188390.1,NP_065710.1</t>
  </si>
  <si>
    <t>ENST00000619591,ENST00000619450,ENST00000617153,ENST00000619108,ENST00000611471,ENST00000619940,ENST00000619808,ENST00000619428,ENST00000615122,ENST00000615786,ENST00000621163</t>
  </si>
  <si>
    <t>ENSP00000481601,ENSP00000480769,ENSP00000481274,ENSP00000482140,ENSP00000484881</t>
  </si>
  <si>
    <t>NR_045021,NR_027166,NR_027667,NR_045029,NR_045028,NR_045027,NR_045022,NR_027168,NR_027170,NR_027169,NR_027167,NR_027165,NR_027164,NR_027163,NR_027162,NR_027161,NR_027160,NR_027159,NR_027158</t>
  </si>
  <si>
    <t>-,-,-,-,-,-,-,-,-,-,-,-,-,-,-,-,-,-,-</t>
  </si>
  <si>
    <t>ENST00000584177,ENST00000487066,ENST00000580180,ENST00000475947,ENST00000481898,ENST00000497774,ENST00000582911,ENST00000584141,ENST00000584926,ENST00000581361,ENST00000581718,ENST00000580770,ENST00000578757,ENST00000492250,ENST00000579473,ENST00000475953,ENST00000583400,ENST00000578380,ENST00000477249,ENST00000470491,ENST00000581913,ENST00000481027,ENST00000460249,ENST00000491009,ENST00000480811,ENST00000483140,ENST00000478103,ENST00000472367,ENST00000483588,ENST00000484836</t>
  </si>
  <si>
    <t>Homo sapiens succinate-CoA ligase, alpha subunit (SUCLG1)</t>
  </si>
  <si>
    <t>ENST00000393868,ENST00000484365,ENST00000491123,ENST00000487809,ENST00000488234,ENST00000483605,ENST00000442240,ENST00000491642,ENST00000430989</t>
  </si>
  <si>
    <t>ENSP00000377446,ENSP00000403884</t>
  </si>
  <si>
    <t>ENST00000382758,ENST00000382754,ENST00000460374</t>
  </si>
  <si>
    <t>ENSP00000372206,ENSP00000372202</t>
  </si>
  <si>
    <t>Homo sapiens interferon, alpha-inducible protein 6 (IFI6)</t>
  </si>
  <si>
    <t>NM_022873,NM_022872,NM_002038</t>
  </si>
  <si>
    <t>NP_075011.1,NP_075010.1,NP_002029.3</t>
  </si>
  <si>
    <t>ENST00000361157,ENST00000339145,ENST00000362020</t>
  </si>
  <si>
    <t>ENSP00000354736,ENSP00000342513,ENSP00000355152</t>
  </si>
  <si>
    <t>NM_001012478,NM_007279</t>
  </si>
  <si>
    <t>NP_001012496.1,NP_009210.1</t>
  </si>
  <si>
    <t>ENST00000450554,ENST00000308924,ENST00000588850,ENST00000587196,ENST00000592867,ENST00000592874,ENST00000590551,ENST00000587275</t>
  </si>
  <si>
    <t>ENSP00000388475,ENSP00000307863,ENSP00000470020,ENSP00000466167,ENSP00000466935</t>
  </si>
  <si>
    <t>ENST00000586757,ENST00000591446,ENST00000591302,ENST00000586843,ENST00000590136,ENST00000300952</t>
  </si>
  <si>
    <t>ENSP00000466895,ENSP00000467679,ENSP00000466835,ENSP00000300952</t>
  </si>
  <si>
    <t>NM_001144063,NM_020896,NM_145638</t>
  </si>
  <si>
    <t>NP_001137535.1,NP_065947.1,NP_663613.1</t>
  </si>
  <si>
    <t>ENST00000478260,ENST00000263650,ENST00000389989,ENST00000534454,ENST00000498536,ENST00000525498,ENST00000471998,ENST00000348039,ENST00000534491,ENST00000532951,ENST00000459995,ENST00000533234,ENST00000465323,ENST00000477622,ENST00000526122,ENST00000530372,ENST00000533721,ENST00000534157,ENST00000528124</t>
  </si>
  <si>
    <t>ENSP00000437141,ENSP00000263650,ENSP00000374639,ENSP00000431412,ENSP00000433342,ENSP00000434265,ENSP00000302872,ENSP00000436950,ENSP00000433754,ENSP00000435812,ENSP00000432507,ENSP00000433222</t>
  </si>
  <si>
    <t>Homo sapiens aldehyde dehydrogenase 7 family, member A1 (ALDH7A1)</t>
  </si>
  <si>
    <t>NM_001202404,NM_001201377,NM_001182</t>
  </si>
  <si>
    <t>NP_001189333.1,NP_001188306.1,NP_001173.2</t>
  </si>
  <si>
    <t>ENST00000409134,ENST00000553117,ENST00000485852,ENST00000497231,ENST00000476328,ENST00000503281,ENST00000509459,ENST00000433026,ENST00000413020,ENST00000458249,ENST00000510111,ENST00000511266,ENST00000509270,ENST00000479989,ENST00000412186,ENST00000447989</t>
  </si>
  <si>
    <t>ENSP00000387123,ENSP00000448593,ENSP00000488032,ENSP00000487998,ENSP00000487936,ENSP00000403929,ENSP00000447388,ENSP00000449318,ENSP00000414536,ENSP00000414132</t>
  </si>
  <si>
    <t>ENST00000528638,ENST00000313578</t>
  </si>
  <si>
    <t>ENST00000416681,ENST00000331803,ENST00000432131,ENST00000457596,ENST00000421046,ENST00000395564,ENST00000436673,ENST00000395560,ENST00000444999,ENST00000482015,ENST00000417464,ENST00000495446</t>
  </si>
  <si>
    <t>ENSP00000405209,ENSP00000330032,ENSP00000387607,ENSP00000408899,ENSP00000414963,ENSP00000378931,ENSP00000390118,ENSP00000378927,ENSP00000396820,ENSP00000413611</t>
  </si>
  <si>
    <t>ENST00000232905,ENST00000462088,ENST00000488260,ENST00000487151</t>
  </si>
  <si>
    <t>Homo sapiens phospholipase A2, group V (PLA2G5)</t>
  </si>
  <si>
    <t>ENST00000486277,ENST00000465698,ENST00000460175,ENST00000469069,ENST00000489871,ENST00000498348,ENST00000375108,ENST00000478803</t>
  </si>
  <si>
    <t>ENST00000535750,ENST00000535126,ENST00000544844,ENST00000537918,ENST00000308774,ENST00000539854</t>
  </si>
  <si>
    <t>ENSP00000441279,ENSP00000444082,ENSP00000438349,ENSP00000309433,ENSP00000440437</t>
  </si>
  <si>
    <t>ENST00000219771,ENST00000395384,ENST00000562473,ENST00000564967</t>
  </si>
  <si>
    <t>ENSP00000378782,ENSP00000455183</t>
  </si>
  <si>
    <t>NM_001115016,NR_047658,NR_047657,NR_047656,NR_047655,NR_047654,NR_047653</t>
  </si>
  <si>
    <t>NP_001108488.1,-,-,-,-,-,-</t>
  </si>
  <si>
    <t>ENST00000354204,ENST00000447759,ENST00000487070,ENST00000431828,ENST00000420155,ENST00000481986,ENST00000484020,ENST00000597150,ENST00000444759,ENST00000476534,ENST00000488907,ENST00000425656,ENST00000452268,ENST00000448075,ENST00000451819,ENST00000416138,ENST00000418735,ENST00000464738,ENST00000475820,ENST00000478492</t>
  </si>
  <si>
    <t>ENSP00000346144,ENSP00000394476,ENSP00000396749,ENSP00000414426,ENSP00000473116,ENSP00000415041,ENSP00000413229,ENSP00000397994,ENSP00000405988,ENSP00000415403,ENSP00000410775,ENSP00000415236</t>
  </si>
  <si>
    <t>ENST00000434410,ENST00000232854,ENST00000448997,ENST00000455834,ENST00000482974,ENST00000424388,ENST00000443894</t>
  </si>
  <si>
    <t>ENSP00000404843,ENSP00000232854,ENSP00000397966,ENSP00000404334,ENSP00000394027,ENSP00000404168</t>
  </si>
  <si>
    <t>NR_031766,NM_001168325,NM_017899</t>
  </si>
  <si>
    <t>-,NP_001161797.1,NP_060369.3</t>
  </si>
  <si>
    <t>ENST00000470612,ENST00000335209,ENST00000549210,ENST00000462502,ENST00000535198,ENST00000482176,ENST00000552139,ENST00000541210</t>
  </si>
  <si>
    <t>ENSP00000432716,ENSP00000334785,ENSP00000450386,ENSP00000432608,ENSP00000445689</t>
  </si>
  <si>
    <t>ENST00000517710,ENST00000519247,ENST00000519789,ENST00000519639,ENST00000406452,ENST00000523911,ENST00000519966,ENST00000517404,ENST00000430676,ENST00000517821,ENST00000520719,ENST00000522942,ENST00000518390,ENST00000519145,ENST00000524172,ENST00000522804,ENST00000523370,ENST00000521045,ENST00000518772</t>
  </si>
  <si>
    <t>ENSP00000429287,ENSP00000427818,ENSP00000428897,ENSP00000431032,ENSP00000385927,ENSP00000429899,ENSP00000428661,ENSP00000409661,ENSP00000428360,ENSP00000430790,ENSP00000429105,ENSP00000430559,ENSP00000428166,ENSP00000428743</t>
  </si>
  <si>
    <t>ENST00000262193,ENST00000462957</t>
  </si>
  <si>
    <t>ENST00000531331,ENST00000532287,ENST00000526776,ENST00000534812,ENST00000533512,ENST00000278200,ENST00000533642,ENST00000527184,ENST00000528161,ENST00000532624,ENST00000529749,ENST00000530023,ENST00000531693,ENST00000532668,ENST00000533921</t>
  </si>
  <si>
    <t>ENSP00000432670,ENSP00000435576,ENSP00000434280,ENSP00000432673,ENSP00000278200,ENSP00000432471,ENSP00000432001,ENSP00000432792</t>
  </si>
  <si>
    <t>Homo sapiens calcium regulated heat stable protein 1, 24kDa (CARHSP1)</t>
  </si>
  <si>
    <t>NM_001042476,NM_014316</t>
  </si>
  <si>
    <t>NP_001035941.1,NP_055131.2</t>
  </si>
  <si>
    <t>ENST00000396593,ENST00000311052,ENST00000561530,ENST00000567554,ENST00000565287,ENST00000567908,ENST00000570125,ENST00000568117,ENST00000568968,ENST00000563815,ENST00000562843,ENST00000569398,ENST00000569572,ENST00000562586,ENST00000567626,ENST00000611932,ENST00000618335,ENST00000619881,ENST00000610831,ENST00000614449</t>
  </si>
  <si>
    <t>ENSP00000379838,ENSP00000311847,ENSP00000455284,ENSP00000455855,ENSP00000455016,ENSP00000455522,ENSP00000457864,ENSP00000456909,ENSP00000455988,ENSP00000460812,ENSP00000457213,ENSP00000481550,ENSP00000483591,ENSP00000480144,ENSP00000478055,ENSP00000480542</t>
  </si>
  <si>
    <t>ENST00000291481,ENST00000592862</t>
  </si>
  <si>
    <t>NM_001193349,NM_001193348,NM_001193350,NM_001193347,NM_001131005,NM_002397</t>
  </si>
  <si>
    <t>NP_001180278.1,NP_001180277.1,NP_001180279.1,NP_001180276.1,NP_001124477.1,NP_002388.2</t>
  </si>
  <si>
    <t>ENST00000504921,ENST00000340208,ENST00000424173,ENST00000625674,ENST00000437473,ENST00000625585,ENST00000514028,ENST00000510942,ENST00000506554,ENST00000514015,ENST00000629612,ENST00000627659,ENST00000508569,ENST00000627170,ENST00000627717,ENST00000626391,ENST00000628656,ENST00000510980,ENST00000515715,ENST00000513252,ENST00000506716,ENST00000503554,ENST00000631026,ENST00000502831,ENST00000507984,ENST00000502983,ENST00000508610,ENST00000503075,ENST00000511086,ENST00000509373,ENST00000515093,ENST00000509349,ENST00000629847,ENST00000503955</t>
  </si>
  <si>
    <t>ENSP00000421925,ENSP00000340874,ENSP00000389610,ENSP00000487430,ENSP00000396219,ENSP00000487538,ENSP00000426665,ENSP00000422390,ENSP00000425636,ENSP00000424606,ENSP00000486554,ENSP00000486490,ENSP00000423597,ENSP00000487157,ENSP00000486932,ENSP00000487184,ENSP00000487311,ENSP00000423826,ENSP00000423656,ENSP00000487437,ENSP00000485972,ENSP00000427286,ENSP00000424331,ENSP00000427163,ENSP00000426442,ENSP00000426465,ENSP00000427309</t>
  </si>
  <si>
    <t>ENST00000376335,ENST00000490085,ENST00000468291,ENST00000477213,ENST00000481565,ENST00000620342</t>
  </si>
  <si>
    <t>ENSP00000365514,ENSP00000481510</t>
  </si>
  <si>
    <t>ENST00000617975,ENST00000536178,ENST00000444095</t>
  </si>
  <si>
    <t>ENSP00000483034,ENSP00000440273,ENSP00000401883</t>
  </si>
  <si>
    <t>ENST00000409559,ENST00000263655,ENST00000481714,ENST00000409862</t>
  </si>
  <si>
    <t>ENSP00000386883,ENSP00000263655,ENSP00000386544</t>
  </si>
  <si>
    <t>Homo sapiens protein phosphatase 1, regulatory subunit 13B (PPP1R13B)</t>
  </si>
  <si>
    <t>ENST00000557587,ENST00000202556,ENST00000555825,ENST00000556597,ENST00000557082,ENST00000555391,ENST00000556334,ENST00000554432,ENST00000556325,ENST00000555991,ENST00000557744,ENST00000555183,ENST00000555708,ENST00000554106,ENST00000555734,ENST00000554136,ENST00000553739</t>
  </si>
  <si>
    <t>ENSP00000451433,ENSP00000202556,ENSP00000451739,ENSP00000451396,ENSP00000452376,ENSP00000450734</t>
  </si>
  <si>
    <t>ENST00000518479,ENST00000301908,ENST00000519592,ENST00000522209</t>
  </si>
  <si>
    <t>ENSP00000428059,ENSP00000301908,ENSP00000430145</t>
  </si>
  <si>
    <t>Homo sapiens aldo-keto reductase family 1, member A1 (aldehyde reductase)</t>
  </si>
  <si>
    <t>NM_006066,NM_001202414,NM_001202413,NM_153326</t>
  </si>
  <si>
    <t>NP_006057.1,NP_001189343.1,NP_001189342.1,NP_697021.1</t>
  </si>
  <si>
    <t>ENST00000372070,ENST00000434299,ENST00000496999,ENST00000476957,ENST00000481885,ENST00000351829,ENST00000471651,ENST00000497973,ENST00000473038,ENST00000495913,ENST00000487654,ENST00000475919,ENST00000475985,ENST00000621846</t>
  </si>
  <si>
    <t>ENSP00000361140,ENSP00000398414,ENSP00000476978,ENSP00000312606,ENSP00000476713,ENSP00000480713</t>
  </si>
  <si>
    <t>Homo sapiens ring-box 1, E3 ubiquitin protein ligase (RBX1)</t>
  </si>
  <si>
    <t>ENST00000476110,ENST00000216225,ENST00000467617</t>
  </si>
  <si>
    <t>NM_000985,NM_001199343,NM_001199342,NM_001199340</t>
  </si>
  <si>
    <t>NP_000976.1,NP_001186272.1,NP_001186271.1,NP_001186269.1</t>
  </si>
  <si>
    <t>ENST00000618619,ENST00000584364,ENST00000579408,ENST00000579248,ENST00000581373,ENST00000580261,ENST00000580210,ENST00000583637,ENST00000578532,ENST00000582588,ENST00000617346,ENST00000581091,ENST00000581741,ENST00000583036,ENST00000615760,ENST00000580387,ENST00000582935,ENST00000615479,ENST00000578528,ENST00000579495,ENST00000582782,ENST00000578966,ENST00000581305,ENST00000618613,ENST00000418495</t>
  </si>
  <si>
    <t>ENSP00000482577,ENSP00000463842,ENSP00000462023,ENSP00000462944,ENSP00000462385,ENSP00000463490,ENSP00000462203,ENSP00000463885,ENSP00000481145,ENSP00000464586,ENSP00000480215,ENSP00000461910,ENSP00000481587,ENSP00000462508,ENSP00000480555,ENSP00000397798</t>
  </si>
  <si>
    <t>Homo sapiens tumor protein, translationally-controlled 1 (TPT1)</t>
  </si>
  <si>
    <t>ENST00000530705,ENST00000379056,ENST00000528619,ENST00000529421,ENST00000484604,ENST00000533567,ENST00000490277,ENST00000530245,ENST00000379060,ENST00000379055,ENST00000309246,ENST00000527226,ENST00000442760,ENST00000616577</t>
  </si>
  <si>
    <t>ENSP00000431872,ENSP00000368345,ENSP00000433091,ENSP00000432457,ENSP00000368350,ENSP00000368344,ENSP00000339051,ENSP00000433738,ENSP00000477781</t>
  </si>
  <si>
    <t>NM_001172415,NM_004323</t>
  </si>
  <si>
    <t>NP_001165886.1,NP_004314.5</t>
  </si>
  <si>
    <t>ENST00000493917,ENST00000379701,ENST00000467389,ENST00000379707,ENST00000379704,ENST00000468274,ENST00000473464,ENST00000473781,ENST00000488499,ENST00000472232</t>
  </si>
  <si>
    <t>ENSP00000369029,ENSP00000369026,ENSP00000419092,ENSP00000417576,ENSP00000420514</t>
  </si>
  <si>
    <t>ENST00000262659,ENST00000452892</t>
  </si>
  <si>
    <t>ENSP00000262659,ENSP00000392448</t>
  </si>
  <si>
    <t>Homo sapiens superoxide dismutase 2, mitochondrial (SOD2)</t>
  </si>
  <si>
    <t>Homo sapiens calpain, small subunit 1 (CAPNS1)</t>
  </si>
  <si>
    <t>NM_001749,NM_001003962</t>
  </si>
  <si>
    <t>NP_001740.1,NP_001003962.1</t>
  </si>
  <si>
    <t>ENST00000246533,ENST00000589146,ENST00000587718,ENST00000592483,ENST00000590874,ENST00000588815,ENST00000591041,ENST00000588780,ENST00000590049,ENST00000586851,ENST00000590211,ENST00000592354,ENST00000586963,ENST00000589162,ENST00000628306,ENST00000629983,ENST00000628018</t>
  </si>
  <si>
    <t>ENSP00000246533,ENSP00000466601,ENSP00000468041,ENSP00000468591,ENSP00000465575,ENSP00000464849,ENSP00000466386,ENSP00000466113,ENSP00000474036,ENSP00000464903,ENSP00000474280,ENSP00000475159,ENSP00000475804,ENSP00000486832,ENSP00000486032,ENSP00000487115</t>
  </si>
  <si>
    <t>Homo sapiens integrin, alpha E (antigen CD103, human mucosal lymphocyte antigen 1; alpha polypeptide)</t>
  </si>
  <si>
    <t>ENST00000572179,ENST00000263087,ENST00000572433,ENST00000571937,ENST00000570415,ENST00000570360,ENST00000571185,ENST00000574026,ENST00000572121</t>
  </si>
  <si>
    <t>ENSP00000263087,ENSP00000467977</t>
  </si>
  <si>
    <t>NM_016468,NM_001204090|NM_001202548,NM_001202549,NM_001202547</t>
  </si>
  <si>
    <t>NP_057552.1,NP_001191019.1|NP_001189477.1,NP_001189478.1,NP_001189476.1</t>
  </si>
  <si>
    <t>ENST00000389912,ENST00000554366,ENST00000557612,ENST00000555601|ENST00000621525,ENST00000617196,ENST00000555276,ENST00000617124,ENST00000618385</t>
  </si>
  <si>
    <t>ENSP00000374562,ENSP00000450871|ENSP00000482133,ENSP00000478757,ENSP00000480746,ENSP00000484161,ENSP00000477705</t>
  </si>
  <si>
    <t>ENST00000610935,ENST00000586787,ENST00000587279</t>
  </si>
  <si>
    <t>ENSP00000478557,ENSP00000471514,ENSP00000465647</t>
  </si>
  <si>
    <t>Homo sapiens rhomboid, veinlet-like 3 (Drosophila)</t>
  </si>
  <si>
    <t>ENST00000578006,ENST00000431505,ENST00000269051,ENST00000538145,ENST00000536287,ENST00000582967</t>
  </si>
  <si>
    <t>ENSP00000463941,ENSP00000394849,ENSP00000269051,ENSP00000442092,ENSP00000466508</t>
  </si>
  <si>
    <t>ENST00000434837,ENST00000373401,ENST00000505425,ENST00000503419,ENST00000418178,ENST00000502298,ENST00000510077,ENST00000478143,ENST00000515437,ENST00000508399</t>
  </si>
  <si>
    <t>ENSP00000402584,ENSP00000422042,ENSP00000393330,ENSP00000425911,ENSP00000421510,ENSP00000427645</t>
  </si>
  <si>
    <t>NM_001035247,NM_005659</t>
  </si>
  <si>
    <t>NP_001030324.2,NP_005650.2</t>
  </si>
  <si>
    <t>ENST00000263202,ENST00000459854,ENST00000399523,ENST00000466373,ENST00000447868,ENST00000421968,ENST00000484101,ENST00000489406,ENST00000494054,ENST00000474226</t>
  </si>
  <si>
    <t>ENSP00000263202,ENSP00000382439,ENSP00000402136,ENSP00000406680,ENSP00000418390,ENSP00000418295</t>
  </si>
  <si>
    <t>Homo sapiens collagen, type IV, alpha 2 (COL4A2)</t>
  </si>
  <si>
    <t>ENST00000400163,ENST00000480771,ENST00000360467,ENST00000462309,ENST00000617564,ENST00000478681,ENST00000494852,ENST00000483683,ENST00000480609,ENST00000463084</t>
  </si>
  <si>
    <t>ENSP00000383027,ENSP00000353654,ENSP00000481492</t>
  </si>
  <si>
    <t>ENST00000584208,ENST00000301585,ENST00000580800,ENST00000583772</t>
  </si>
  <si>
    <t>ENSP00000462256,ENSP00000301585,ENSP00000464192</t>
  </si>
  <si>
    <t>ENST00000250101,ENST00000576020,ENST00000570330,ENST00000574429,ENST00000571957,ENST00000574734,ENST00000574838,ENST00000577146,ENST00000573792,ENST00000571029</t>
  </si>
  <si>
    <t>ENSP00000250101,ENSP00000459868,ENSP00000458157,ENSP00000460577</t>
  </si>
  <si>
    <t>ENST00000274137,ENST00000469176,ENST00000510329</t>
  </si>
  <si>
    <t>ENSP00000274137,ENSP00000422557</t>
  </si>
  <si>
    <t>ENST00000338257,ENST00000600885,ENST00000596245,ENST00000598005,ENST00000597459,ENST00000598797,ENST00000597222,ENST00000602136,ENST00000601502,ENST00000594977,ENST00000600825,ENST00000596937,ENST00000595191,ENST00000598529,ENST00000595325,ENST00000594774,ENST00000598321,ENST00000599123,ENST00000596675,ENST00000596645,ENST00000595046,ENST00000613525</t>
  </si>
  <si>
    <t>ENSP00000344871,ENSP00000469098,ENSP00000469380,ENSP00000469387,ENSP00000469668,ENSP00000481682</t>
  </si>
  <si>
    <t>Homo sapiens ATP synthase, H+ transporting, mitochondrial F1 complex, O subunit (ATP5O)</t>
  </si>
  <si>
    <t>ENST00000431254,ENST00000491703,ENST00000290299,ENST00000417181,ENST00000418933,ENST00000429064,ENST00000495005,ENST00000496044,ENST00000484627,ENST00000487374</t>
  </si>
  <si>
    <t>ENSP00000393496,ENSP00000290299,ENSP00000407220,ENSP00000393211,ENSP00000403964</t>
  </si>
  <si>
    <t>NM_001135861,NM_014172</t>
  </si>
  <si>
    <t>NP_001129333.1,NP_054891.2</t>
  </si>
  <si>
    <t>ENST00000371661,ENST00000492540,ENST00000247665,ENST00000462205,ENST00000497413,ENST00000463215</t>
  </si>
  <si>
    <t>ENSP00000360724,ENSP00000247665</t>
  </si>
  <si>
    <t>ENST00000265909,ENST00000527116,ENST00000526579,ENST00000534726,ENST00000426933,ENST00000533318,ENST00000530330,ENST00000528555,ENST00000530356,ENST00000524460,ENST00000527451,ENST00000533214,ENST00000531608</t>
  </si>
  <si>
    <t>ENSP00000265909,ENSP00000433699,ENSP00000413345,ENSP00000435122,ENSP00000432307,ENSP00000435390</t>
  </si>
  <si>
    <t>NM_033082,NR_026723,NR_026722</t>
  </si>
  <si>
    <t>NP_149073.1,-,-</t>
  </si>
  <si>
    <t>ENST00000546604,ENST00000552884,ENST00000552946,ENST00000336133,ENST00000552080,ENST00000552207</t>
  </si>
  <si>
    <t>ENSP00000449409,ENSP00000448455,ENSP00000337632,ENSP00000447690</t>
  </si>
  <si>
    <t>NM_001075099,NM_003726</t>
  </si>
  <si>
    <t>NP_001068567.1,NP_003717.3</t>
  </si>
  <si>
    <t>ENST00000336915,ENST00000584709,ENST00000583844,ENST00000579476,ENST00000584924,ENST00000581400,ENST00000579336,ENST00000581419</t>
  </si>
  <si>
    <t>ENSP00000338171,ENSP00000463284,ENSP00000464509,ENSP00000464311,ENSP00000462360,ENSP00000464198,ENSP00000462437</t>
  </si>
  <si>
    <t>NM_001302|NM_001270517,NM_198544,NM_001243768,NM_199006,NR_037187</t>
  </si>
  <si>
    <t>NP_001293.3|NP_001257446.1,NP_940946.1,NP_001230697.1,NP_950171.2,-</t>
  </si>
  <si>
    <t>ENST00000377049|ENST00000400900,ENST00000470413,ENST00000465026,ENST00000602446,ENST00000602296,ENST00000602787</t>
  </si>
  <si>
    <t>ENSP00000366248|ENSP00000383692,ENSP00000433615,ENSP00000473279,ENSP00000473401,ENSP00000473509</t>
  </si>
  <si>
    <t>ENST00000528641,ENST00000279146,ENST00000529797,ENST00000525341</t>
  </si>
  <si>
    <t>ENSP00000434982,ENSP00000279146,ENSP00000476993</t>
  </si>
  <si>
    <t>ENST00000372836,ENST00000394142</t>
  </si>
  <si>
    <t>ENSP00000361926,ENSP00000377698</t>
  </si>
  <si>
    <t>ENST00000222122,ENST00000599385,ENST00000594723,ENST00000593500,ENST00000601104</t>
  </si>
  <si>
    <t>ENSP00000222122,ENSP00000469426,ENSP00000471220,ENSP00000469291</t>
  </si>
  <si>
    <t>ENST00000422433,ENST00000461067</t>
  </si>
  <si>
    <t>ENST00000570631,ENST00000291041,ENST00000575198</t>
  </si>
  <si>
    <t>ENSP00000482880,ENSP00000291041</t>
  </si>
  <si>
    <t>NM_203415,NM_203414,NM_015362</t>
  </si>
  <si>
    <t>NP_981960.1,NP_981959.1,NP_056177.3</t>
  </si>
  <si>
    <t>ENST00000573699,ENST00000573513,ENST00000574255,ENST00000396627,ENST00000570500,ENST00000574993,ENST00000396628,ENST00000573657,ENST00000570322,ENST00000576496,ENST00000574841,ENST00000571146,ENST00000572104,ENST00000356683,ENST00000354429</t>
  </si>
  <si>
    <t>ENSP00000459897,ENSP00000460596,ENSP00000461489,ENSP00000379868,ENSP00000458691,ENSP00000459835,ENSP00000379869,ENSP00000459633,ENSP00000460947,ENSP00000459010,ENSP00000461890,ENSP00000459535,ENSP00000459248,ENSP00000349111,ENSP00000346412</t>
  </si>
  <si>
    <t>Homo sapiens phospholipase A2, group XVI (PLA2G16)</t>
  </si>
  <si>
    <t>ENST00000323646,ENST00000394613,ENST00000540943,ENST00000544269,ENST00000415826</t>
  </si>
  <si>
    <t>ENSP00000320337,ENSP00000442576,ENSP00000389124</t>
  </si>
  <si>
    <t>Homo sapiens nuclear protein, transcriptional regulator, 1 (NUPR1)</t>
  </si>
  <si>
    <t>NM_001042483,NM_012385</t>
  </si>
  <si>
    <t>NP_001035948.1,NP_036517.1</t>
  </si>
  <si>
    <t>ENST00000324873,ENST00000567646,ENST00000395641</t>
  </si>
  <si>
    <t>ENSP00000315559,ENSP00000456597,ENSP00000379003</t>
  </si>
  <si>
    <t>NM_001048205,NM_005132</t>
  </si>
  <si>
    <t>NP_001041670.1,NP_005123.2</t>
  </si>
  <si>
    <t>ENST00000620473,ENST00000557806,ENST00000611366,ENST00000619469,ENST00000560032,ENST00000560501,ENST00000619284,ENST00000619111,ENST00000560823,ENST00000559797,ENST00000558191,ENST00000559939,ENST00000558381</t>
  </si>
  <si>
    <t>ENSP00000482546,ENSP00000453763,ENSP00000482439,ENSP00000453506,ENSP00000452701</t>
  </si>
  <si>
    <t>NM_001123377,NM_007262</t>
  </si>
  <si>
    <t>NP_001116849.1,NP_009193.2</t>
  </si>
  <si>
    <t>ENST00000493373,ENST00000460192,ENST00000338639,ENST00000493678,ENST00000377493,ENST00000465354,ENST00000377491,ENST00000377488,ENST00000497113,ENST00000469225</t>
  </si>
  <si>
    <t>ENSP00000465404,ENSP00000340278,ENSP00000418770,ENSP00000466242,ENSP00000366711,ENSP00000366708,ENSP00000466756</t>
  </si>
  <si>
    <t>ENST00000497864,ENST00000494478,ENST00000273596,ENST00000474575,ENST00000491470,ENST00000458031</t>
  </si>
  <si>
    <t>ENSP00000418242,ENSP00000420475,ENSP00000273596,ENSP00000418824,ENSP00000390557</t>
  </si>
  <si>
    <t>ENST00000571332,ENST00000381977,ENST00000574623,ENST00000571669,ENST00000263092,ENST00000576556,ENST00000574752,ENST00000571298,ENST00000576976,ENST00000577148</t>
  </si>
  <si>
    <t>ENSP00000263092,ENSP00000460775,ENSP00000460207,ENSP00000465733,ENSP00000461546</t>
  </si>
  <si>
    <t>Homo sapiens transforming growth factor, beta-induced, 68kDa (TGFBI)</t>
  </si>
  <si>
    <t>ENST00000442011,ENST00000504185,ENST00000506699,ENST00000507018,ENST00000515433,ENST00000508767,ENST00000509749,ENST00000604555,ENST00000514554,ENST00000509485,ENST00000514242,ENST00000513497,ENST00000508076,ENST00000503087,ENST00000504411</t>
  </si>
  <si>
    <t>ENSP00000416330,ENSP00000421540,ENSP00000423871,ENSP00000474155,ENSP00000421440,ENSP00000426589,ENSP00000423935,ENSP00000427137</t>
  </si>
  <si>
    <t>Homo sapiens mago-nashi homolog, proliferation-associated (Drosophila)</t>
  </si>
  <si>
    <t>ENST00000371470,ENST00000371466,ENST00000495868,ENST00000462941</t>
  </si>
  <si>
    <t>ENSP00000360525,ENSP00000360521</t>
  </si>
  <si>
    <t>ENST00000468711,ENST00000378669,ENST00000482463,ENST00000464443,ENST00000607768,ENST00000463055,ENST00000423797,ENST00000234301</t>
  </si>
  <si>
    <t>ENSP00000429237,ENSP00000367938,ENSP00000428873,ENSP00000431039,ENSP00000234301</t>
  </si>
  <si>
    <t>ENST00000472729,ENST00000445644,ENST00000471704,ENST00000311832,ENST00000455659,ENST00000458337,ENST00000427417,ENST00000444166</t>
  </si>
  <si>
    <t>ENSP00000416997,ENSP00000308236,ENSP00000398727,ENSP00000401236,ENSP00000413207,ENSP00000410050</t>
  </si>
  <si>
    <t>ENST00000473300,ENST00000304402,ENST00000496754</t>
  </si>
  <si>
    <t>NM_006134,NR_040016</t>
  </si>
  <si>
    <t>NP_006125.2,-</t>
  </si>
  <si>
    <t>ENST00000484377,ENST00000420455,ENST00000470682,ENST00000468874,ENST00000542230,ENST00000441128,ENST00000442441,ENST00000474272,ENST00000432504,ENST00000459909</t>
  </si>
  <si>
    <t>ENSP00000397773,ENSP00000439768,ENSP00000398859,ENSP00000409942,ENSP00000387622</t>
  </si>
  <si>
    <t>ENST00000298049,ENST00000217182</t>
  </si>
  <si>
    <t>ENSP00000298049,ENSP00000217182</t>
  </si>
  <si>
    <t>Homo sapiens keratin 13, type I (KRT13)</t>
  </si>
  <si>
    <t>NM_002274,NM_153490</t>
  </si>
  <si>
    <t>NP_002265.2,NP_705694.2</t>
  </si>
  <si>
    <t>ENST00000246635,ENST00000336861,ENST00000475217,ENST00000468313,ENST00000587544,ENST00000464634,ENST00000590425,ENST00000587435,ENST00000587118</t>
  </si>
  <si>
    <t>ENSP00000246635,ENSP00000336604,ENSP00000468221,ENSP00000466525,ENSP00000466465,ENSP00000467833</t>
  </si>
  <si>
    <t>NM_001039847,NM_001039848,NM_002085</t>
  </si>
  <si>
    <t>NP_001034936.1,NP_001034937.1,NP_002076.2</t>
  </si>
  <si>
    <t>ENST00000354171,ENST00000589115,ENST00000589115,ENST00000589115,ENST00000611653,ENST00000593032,ENST00000588919,ENST00000588919,ENST00000585362,ENST00000614791,ENST00000587648,ENST00000592940,ENST00000587932,ENST00000585480,ENST00000622390,ENST00000616066</t>
  </si>
  <si>
    <t>ENSP00000346103,ENSP00000466872,ENSP00000466872,ENSP00000466872,ENSP00000483655,ENSP00000465828,ENSP00000464989,ENSP00000464989,ENSP00000473614,ENSP00000484697,ENSP00000468349,ENSP00000467900,ENSP00000477503,ENSP00000485000</t>
  </si>
  <si>
    <t>Homo sapiens Fanconi anemia, complementation group G (FANCG)</t>
  </si>
  <si>
    <t>ENST00000425676,ENST00000378643,ENST00000476212,ENST00000481254,ENST00000474894,ENST00000448890,ENST00000461149,ENST00000462124</t>
  </si>
  <si>
    <t>ENSP00000412793,ENSP00000367910,ENSP00000409607</t>
  </si>
  <si>
    <t>ENST00000300026,ENST00000558492,ENST00000561048</t>
  </si>
  <si>
    <t>NR_073515,NM_001271910,NM_001271909,NM_001271908,NM_001271907,NM_153025</t>
  </si>
  <si>
    <t>-,NP_001258839.1,NP_001258838.1,NP_001258837.1,NP_001258836.1,NP_694570.1</t>
  </si>
  <si>
    <t>ENST00000301031,ENST00000566204,ENST00000565890,ENST00000457689,ENST00000567827,ENST00000564238,ENST00000568929,ENST00000566857,ENST00000579310,ENST00000611218</t>
  </si>
  <si>
    <t>ENSP00000301031,ENSP00000461933,ENSP00000455761,ENSP00000462403,ENSP00000456696,ENSP00000462233,ENSP00000462319,ENSP00000462996,ENSP00000481797</t>
  </si>
  <si>
    <t>ENST00000368926,ENST00000465135,ENST00000473308</t>
  </si>
  <si>
    <t>ENST00000300853,ENST00000423698,ENST00000588738,ENST00000340192,ENST00000590701,ENST00000591636,ENST00000589165,ENST00000013807,ENST00000592410,ENST00000592444,ENST00000587888,ENST00000589381,ENST00000592083,ENST00000592905,ENST00000592023,ENST00000588300,ENST00000589214</t>
  </si>
  <si>
    <t>ENSP00000300853,ENSP00000394875,ENSP00000345203,ENSP00000466644,ENSP00000468119,ENSP00000468035,ENSP00000013807,ENSP00000465354,ENSP00000465225,ENSP00000468548,ENSP00000467183,ENSP00000468158,ENSP00000465524</t>
  </si>
  <si>
    <t>Homo sapiens deiodinase, iodothyronine, type II (DIO2)</t>
  </si>
  <si>
    <t>NM_013989,NM_001242503,NM_001242502,NM_001007023,NM_000793</t>
  </si>
  <si>
    <t>NP_054644.1,NP_001229432.1,NP_001229431.1,NP_001007024.1,NP_000784.2</t>
  </si>
  <si>
    <t>ENST00000438257,ENST00000438257,ENST00000557010,ENST00000557010,ENST00000556811,ENST00000555750,ENST00000555750,ENST00000555750,ENST00000557125,ENST00000555844,ENST00000554188,ENST00000553968,ENST00000553594,ENST00000556384,ENST00000422005</t>
  </si>
  <si>
    <t>ENSP00000405854,ENSP00000405854,ENSP00000451419,ENSP00000451419,ENSP00000451971,ENSP00000450980,ENSP00000450980,ENSP00000450980,ENSP00000450547,ENSP00000450781,ENSP00000451136,ENSP00000451339,ENSP00000451265,ENSP00000411438</t>
  </si>
  <si>
    <t>ENST00000486542,ENST00000341083,ENST00000440282,ENST00000378605,ENST00000480703,ENST00000463303,ENST00000469555,ENST00000492675,ENST00000466271</t>
  </si>
  <si>
    <t>ENSP00000345773,ENSP00000401256,ENSP00000367868</t>
  </si>
  <si>
    <t>ENST00000587117,ENST00000587250</t>
  </si>
  <si>
    <t>ENST00000329021,ENST00000355469</t>
  </si>
  <si>
    <t>ENSP00000333680,ENSP00000347650</t>
  </si>
  <si>
    <t>Homo sapiens peroxisomal membrane protein 4, 24kDa (PXMP4)</t>
  </si>
  <si>
    <t>NM_183397,NM_007238</t>
  </si>
  <si>
    <t>NP_899634.1,NP_009169.3</t>
  </si>
  <si>
    <t>ENST00000409299,ENST00000344022,ENST00000217398</t>
  </si>
  <si>
    <t>ENSP00000386385,ENSP00000343071,ENSP00000217398</t>
  </si>
  <si>
    <t>Homo sapiens sprouty homolog 1, antagonist of FGF signaling (Drosophila)</t>
  </si>
  <si>
    <t>NM_001258039,NM_005841,NM_199327,NM_001258038</t>
  </si>
  <si>
    <t>NP_001244968.1,NP_005832.1,NP_955359.1,NP_001244967.1</t>
  </si>
  <si>
    <t>ENST00000505319,ENST00000339241,ENST00000515726,ENST00000507703,ENST00000394339,ENST00000508849,ENST00000610581,ENST00000622283</t>
  </si>
  <si>
    <t>ENSP00000421622,ENSP00000343785,ENSP00000421036,ENSP00000377871,ENSP00000425946,ENSP00000481675,ENSP00000480540</t>
  </si>
  <si>
    <t>ENST00000588030,ENST00000588411,ENST00000592467,ENST00000591622,ENST00000592051,ENST00000589161,ENST00000586472,ENST00000589266,ENST00000588090,ENST00000592815,ENST00000591935,ENST00000586548,ENST00000585913,ENST00000585630,ENST00000589710,ENST00000586773,ENST00000587323,ENST00000589686,ENST00000592412,ENST00000593128,ENST00000593283,ENST00000588230,ENST00000591097,ENST00000590704,ENST00000413636,ENST00000593093,ENST00000590347,ENST00000587169,ENST00000593048,ENST00000587896,ENST00000320936,ENST00000586636,ENST00000591055,ENST00000591376,ENST00000589235,ENST00000591659,ENST00000585914,ENST00000590171,ENST00000588344,ENST00000592234,ENST00000444172,ENST00000590188,ENST00000588917,ENST00000586555,ENST00000621399,ENST00000628979</t>
  </si>
  <si>
    <t>ENSP00000468788,ENSP00000465338,ENSP00000468016,ENSP00000465779,ENSP00000467138,ENSP00000466207,ENSP00000467028,ENSP00000467734,ENSP00000466712,ENSP00000467449,ENSP00000466110,ENSP00000466897,ENSP00000468645,ENSP00000465077,ENSP00000465334,ENSP00000467876,ENSP00000465558,ENSP00000468229,ENSP00000412831,ENSP00000467307,ENSP00000465114,ENSP00000467791,ENSP00000466025,ENSP00000322887,ENSP00000464906,ENSP00000466216,ENSP00000464830,ENSP00000467848,ENSP00000468097,ENSP00000467948,ENSP00000464728,ENSP00000466238,ENSP00000466131,ENSP00000407512,ENSP00000486590</t>
  </si>
  <si>
    <t>ENST00000535042,ENST00000537328,ENST00000541893,ENST00000545210,ENST00000257262,ENST00000535297,ENST00000543510,ENST00000540434</t>
  </si>
  <si>
    <t>ENSP00000443216,ENSP00000441836,ENSP00000445404,ENSP00000257262,ENSP00000437809,ENSP00000443836</t>
  </si>
  <si>
    <t>Homo sapiens transmembrane protease, serine 2 (TMPRSS2)</t>
  </si>
  <si>
    <t>NM_001135099,NM_005656</t>
  </si>
  <si>
    <t>NP_001128571.1,NP_005647.3</t>
  </si>
  <si>
    <t>ENST00000332149,ENST00000488556,ENST00000458356,ENST00000454499,ENST00000469395,ENST00000424093,ENST00000497881,ENST00000463138,ENST00000455813,ENST00000489201,ENST00000398585</t>
  </si>
  <si>
    <t>ENSP00000330330,ENSP00000391216,ENSP00000389006,ENSP00000397846,ENSP00000391784,ENSP00000381588</t>
  </si>
  <si>
    <t>ENST00000543431,ENST00000539701,ENST00000537719,ENST00000539309,ENST00000538520,ENST00000539490,ENST00000540757,ENST00000536157,ENST00000542905,ENST00000536645,ENST00000540644,ENST00000545571,ENST00000536137,ENST00000541024,ENST00000544671,ENST00000544050,ENST00000010132</t>
  </si>
  <si>
    <t>ENSP00000439697,ENSP00000441996,ENSP00000444842,ENSP00000439168,ENSP00000441755,ENSP00000438769,ENSP00000010132</t>
  </si>
  <si>
    <t>NM_001014796,NM_006182</t>
  </si>
  <si>
    <t>NP_001014796.1,NP_006173.2</t>
  </si>
  <si>
    <t>ENST00000446985,ENST00000415555,ENST00000367922,ENST00000367921,ENST00000458105,ENST00000433757</t>
  </si>
  <si>
    <t>ENSP00000400309,ENSP00000391310,ENSP00000356899,ENSP00000356898,ENSP00000417030,ENSP00000396864</t>
  </si>
  <si>
    <t>ENST00000285083,ENST00000605932,ENST00000442255,ENST00000435829,ENST00000486267,ENST00000452581,ENST00000606098,ENST00000607329,ENST00000627468</t>
  </si>
  <si>
    <t>ENSP00000285083,ENSP00000475547,ENSP00000398867,ENSP00000389872,ENSP00000397374,ENSP00000476239,ENSP00000487136</t>
  </si>
  <si>
    <t>NM_004217,NM_001256834</t>
  </si>
  <si>
    <t>NP_004208.2,NP_001243763.1</t>
  </si>
  <si>
    <t>ENST00000316199,ENST00000534871,ENST00000585124,ENST00000584972,ENST00000578549,ENST00000580998,ENST00000578753,ENST00000577833,ENST00000581511,ENST00000580390,ENST00000584561,ENST00000582368,ENST00000583915,ENST00000583124</t>
  </si>
  <si>
    <t>ENSP00000313950,ENSP00000443869,ENSP00000463999,ENSP00000462858,ENSP00000462207,ENSP00000461981,ENSP00000463636,ENSP00000462930,ENSP00000464031,ENSP00000462027</t>
  </si>
  <si>
    <t>NM_001193557,NM_020189,NR_036472,NR_036471</t>
  </si>
  <si>
    <t>NP_001180486.1,NP_064574.1,-,-</t>
  </si>
  <si>
    <t>ENST00000522766,ENST00000521662,ENST00000521688,ENST00000517311,ENST00000339942,ENST00000520147,ENST00000519754,ENST00000522407,ENST00000522632,ENST00000523335,ENST00000517756,ENST00000518584,ENST00000517350,ENST00000523707,ENST00000521619,ENST00000518118</t>
  </si>
  <si>
    <t>ENSP00000428514,ENSP00000429713,ENSP00000429986,ENSP00000429196,ENSP00000339861,ENSP00000429588,ENSP00000429670</t>
  </si>
  <si>
    <t>ENST00000512062,ENST00000514123,ENST00000515314,ENST00000561792,ENST00000568237,ENST00000568342,ENST00000307892</t>
  </si>
  <si>
    <t>ENSP00000423679,ENSP00000421492,ENSP00000457848,ENSP00000464102,ENSP00000308430</t>
  </si>
  <si>
    <t>NM_001267700,NM_001144831</t>
  </si>
  <si>
    <t>NP_001254629.1,NP_001138303.1</t>
  </si>
  <si>
    <t>ENST00000537646,ENST00000543465,ENST00000546111,ENST00000535923,ENST00000542912,ENST00000545555,ENST00000545167,ENST00000544888,ENST00000536316,ENST00000544134,ENST00000546217,ENST00000542294,ENST00000440277,ENST00000399433</t>
  </si>
  <si>
    <t>ENSP00000438634,ENSP00000441875,ENSP00000440317,ENSP00000475382,ENSP00000441662,ENSP00000438068,ENSP00000439029,ENSP00000412856,ENSP00000382362</t>
  </si>
  <si>
    <t>NM_016226,NM_057180</t>
  </si>
  <si>
    <t>NP_057310.1,NP_476528.1</t>
  </si>
  <si>
    <t>ENST00000549578,ENST00000360579,ENST00000552130,ENST00000546588,ENST00000548539,ENST00000549970,ENST00000548259,ENST00000553128,ENST00000551655,ENST00000550267,ENST00000621131,ENST00000447578</t>
  </si>
  <si>
    <t>ENSP00000447058,ENSP00000353786,ENSP00000449954,ENSP00000449044,ENSP00000447634,ENSP00000480853,ENSP00000400048</t>
  </si>
  <si>
    <t>ENST00000367012,ENST00000490620,ENST00000482421,ENST00000483884</t>
  </si>
  <si>
    <t>NM_032302,NM_001134340</t>
  </si>
  <si>
    <t>NP_115678.1,NP_001127812.1</t>
  </si>
  <si>
    <t>ENST00000288607,ENST00000404674,ENST00000252329</t>
  </si>
  <si>
    <t>ENSP00000288607,ENSP00000384799,ENSP00000252329</t>
  </si>
  <si>
    <t>ENST00000587869,ENST00000590877,ENST00000590469,ENST00000593146,ENST00000535453,ENST00000587149,ENST00000238483,ENST00000233607</t>
  </si>
  <si>
    <t>ENSP00000466803,ENSP00000466173,ENSP00000467073,ENSP00000442954,ENSP00000468199,ENSP00000238483,ENSP00000233607</t>
  </si>
  <si>
    <t>ENST00000300291,ENST00000563860,ENST00000566340,ENST00000563362,ENST00000568822,ENST00000612596,ENST00000567110</t>
  </si>
  <si>
    <t>ENSP00000300291,ENSP00000454790,ENSP00000457942</t>
  </si>
  <si>
    <t>ENST00000300057,ENST00000559894</t>
  </si>
  <si>
    <t>NM_013958,NM_013959,NM_001160005,NM_013962</t>
  </si>
  <si>
    <t>NP_039252.2,NP_039253.1,NP_001153477.1,NP_039256.2</t>
  </si>
  <si>
    <t>XR_958855,XR_958853,XR_930339,XR_930338,XM_006726503,XM_006717348</t>
  </si>
  <si>
    <t>-,-,-,-,XP_006726566.2,XP_006717411.2</t>
  </si>
  <si>
    <t>NM_001130971,NM_001130970,NM_001130969,NM_015537,NM_001178064</t>
  </si>
  <si>
    <t>NP_001124443.1,NP_001124442.1,NP_001124441.1,NP_056352.3,NP_001171535.1</t>
  </si>
  <si>
    <t>ENST00000339554,ENST00000371482,ENST00000371472,ENST00000484316,ENST00000482448,ENST00000371468,ENST00000371475,ENST00000437259,ENST00000371474,ENST00000371473,ENST00000265663</t>
  </si>
  <si>
    <t>ENSP00000342966,ENSP00000360537,ENSP00000360527,ENSP00000360523,ENSP00000360530,ENSP00000412007,ENSP00000360529,ENSP00000360528,ENSP00000265663</t>
  </si>
  <si>
    <t>ENST00000535342,ENST00000581739,ENST00000583466,ENST00000317442,ENST00000580694,ENST00000581734,ENST00000537949,ENST00000585168,ENST00000582795,ENST00000580482,ENST00000582760,ENST00000582861,ENST00000578878,ENST00000584627,ENST00000584987,ENST00000578971,ENST00000583358,ENST00000580624,ENST00000577322,ENST00000392769</t>
  </si>
  <si>
    <t>ENSP00000442784,ENSP00000464597,ENSP00000320592,ENSP00000462567,ENSP00000440775,ENSP00000463445,ENSP00000463914,ENSP00000464164,ENSP00000376522</t>
  </si>
  <si>
    <t>Homo sapiens OTU deubiquitinase, ubiquitin aldehyde binding 1 (OTUB1)</t>
  </si>
  <si>
    <t>NM_017670,NR_003089</t>
  </si>
  <si>
    <t>NP_060140.2,-</t>
  </si>
  <si>
    <t>ENST00000301453,ENST00000541478,ENST00000535715,ENST00000428192,ENST00000538426,ENST00000543004,ENST00000447683,ENST00000536443,ENST00000543988,ENST00000535140,ENST00000536943,ENST00000422031</t>
  </si>
  <si>
    <t>ENSP00000439142,ENSP00000440211,ENSP00000402551,ENSP00000444357,ENSP00000437453,ENSP00000441328,ENSP00000444968,ENSP00000416973</t>
  </si>
  <si>
    <t>ENST00000274773,ENST00000504241,ENST00000393319,ENST00000422067,ENST00000509199,ENST00000334421,ENST00000393315</t>
  </si>
  <si>
    <t>ENSP00000274773,ENSP00000376994,ENSP00000391458,ENSP00000334666,ENSP00000376991</t>
  </si>
  <si>
    <t>ENST00000327435,ENST00000382093,ENST00000415131</t>
  </si>
  <si>
    <t>ENSP00000333666,ENSP00000371525,ENSP00000410178</t>
  </si>
  <si>
    <t>NM_017595,NM_001144927,NM_001144929,NM_001144928,NM_001001349</t>
  </si>
  <si>
    <t>NP_060065.2,NP_001138399.1,NP_001138401.1,NP_001138400.1,NP_001001349.1</t>
  </si>
  <si>
    <t>ENST00000585955,ENST00000307641,ENST00000393885,ENST00000587337,ENST00000485789,ENST00000479407,ENST00000393880,ENST00000393881,ENST00000462043,ENST00000587028,ENST00000491638,ENST00000449471,ENST00000316082,ENST00000393879</t>
  </si>
  <si>
    <t>ENSP00000468081,ENSP00000303580,ENSP00000377463,ENSP00000468245,ENSP00000466135,ENSP00000465633,ENSP00000377458,ENSP00000377459,ENSP00000419929,ENSP00000465588,ENSP00000401976,ENSP00000312773</t>
  </si>
  <si>
    <t>ENST00000337190,ENST00000513372,ENST00000513380,ENST00000515378,ENST00000510822</t>
  </si>
  <si>
    <t>ENSP00000337889,ENSP00000422660,ENSP00000421209</t>
  </si>
  <si>
    <t>Homo sapiens dynein, light chain, LC8-type 2 (DYNLL2)</t>
  </si>
  <si>
    <t>NM_001199885,NM_016400|NR_037673</t>
  </si>
  <si>
    <t>NP_001186814.1,NP_057484.3|-</t>
  </si>
  <si>
    <t>ENST00000406925,ENST00000498605,ENST00000442995,ENST00000458412,ENST00000497142,ENST00000620261</t>
  </si>
  <si>
    <t>ENSP00000384474,ENSP00000401155,ENSP00000394060,ENSP00000481433</t>
  </si>
  <si>
    <t>NM_199054,NM_017572</t>
  </si>
  <si>
    <t>NP_951009.1,NP_060042.2</t>
  </si>
  <si>
    <t>ENST00000589441,ENST00000591142,ENST00000591601,ENST00000309340,ENST00000587416,ENST00000588014,ENST00000586828,ENST00000591588,ENST00000585667,ENST00000586620,ENST00000589509,ENST00000589534,ENST00000250896</t>
  </si>
  <si>
    <t>ENSP00000466594,ENSP00000465645,ENSP00000467811,ENSP00000309485,ENSP00000465079,ENSP00000465425,ENSP00000464828,ENSP00000466147,ENSP00000466064,ENSP00000250896</t>
  </si>
  <si>
    <t>Homo sapiens LSM7 homolog, U6 small nuclear RNA associated (S. cerevisiae)</t>
  </si>
  <si>
    <t>ENST00000252622,ENST00000587502,ENST00000591515,ENST00000589532,ENST00000585395,ENST00000585409,ENST00000591745</t>
  </si>
  <si>
    <t>ENSP00000252622,ENSP00000485007,ENSP00000466556,ENSP00000467145</t>
  </si>
  <si>
    <t>Homo sapiens potassium channel, voltage gated KQT-like subfamily Q, member 5 (KCNQ5)</t>
  </si>
  <si>
    <t>NM_001160134,NM_001160133,NM_001160132,NM_001160130,NM_019842</t>
  </si>
  <si>
    <t>NP_001153606.1,NP_001153605.1,NP_001153604.1,NP_001153602.1,NP_062816.2</t>
  </si>
  <si>
    <t>ENST00000342056,ENST00000628967,ENST00000370398,ENST00000370392,ENST00000629977,ENST00000443915,ENST00000441538,ENST00000427928,ENST00000403813,ENST00000414165,ENST00000355194,ENST00000402622,ENST00000355635</t>
  </si>
  <si>
    <t>ENSP00000345055,ENSP00000486187,ENSP00000359425,ENSP00000359419,ENSP00000485743,ENSP00000414829,ENSP00000391971,ENSP00000388098,ENSP00000384453,ENSP00000409861,ENSP00000347326,ENSP00000385501,ENSP00000347853</t>
  </si>
  <si>
    <t>NM_001029991,NM_022734</t>
  </si>
  <si>
    <t>NP_001025162.1,NP_073571.1</t>
  </si>
  <si>
    <t>ENST00000339374,ENST00000554949,ENST00000555177,ENST00000554985,ENST00000554588,ENST00000382985,ENST00000556670,ENST00000555640,ENST00000555533,ENST00000557701,ENST00000556442,ENST00000553564,ENST00000557550,ENST00000554751,ENST00000554283,ENST00000553441,ENST00000553536,ENST00000555670,ENST00000555902,ENST00000555390,ENST00000554354,ENST00000557279,ENST00000553389,ENST00000554849,ENST00000556733</t>
  </si>
  <si>
    <t>ENSP00000343041,ENSP00000372445,ENSP00000450794,ENSP00000450782,ENSP00000450948,ENSP00000451478,ENSP00000452392,ENSP00000451913,ENSP00000451804,ENSP00000451049,ENSP00000452238</t>
  </si>
  <si>
    <t>ENST00000377307,ENST00000276826,ENST00000528810</t>
  </si>
  <si>
    <t>ENSP00000366522,ENSP00000276826</t>
  </si>
  <si>
    <t>ENST00000397298,ENST00000381519,ENST00000397297,ENST00000381514,ENST00000397294,ENST00000462288,ENST00000486931,ENST00000429295,ENST00000466346,ENST00000484918</t>
  </si>
  <si>
    <t>ENSP00000380466,ENSP00000370930,ENSP00000380465,ENSP00000370925,ENSP00000380462,ENSP00000407156</t>
  </si>
  <si>
    <t>Homo sapiens family with sequence similarity 162, member A (FAM162A)</t>
  </si>
  <si>
    <t>ENST00000232125,ENST00000477892,ENST00000469967</t>
  </si>
  <si>
    <t>ENSP00000232125,ENSP00000419088,ENSP00000419491</t>
  </si>
  <si>
    <t>ENST00000037243,ENST00000565057,ENST00000563744,ENST00000568455,ENST00000565985</t>
  </si>
  <si>
    <t>ENSP00000037243,ENSP00000456773,ENSP00000457448,ENSP00000455606</t>
  </si>
  <si>
    <t>NM_001270960,NM_015953</t>
  </si>
  <si>
    <t>NP_001257889.1,NP_057037.1</t>
  </si>
  <si>
    <t>ENST00000601015,ENST00000598820,ENST00000339093,ENST00000596358,ENST00000601340,ENST00000596477,ENST00000598550,ENST00000599537,ENST00000598296,ENST00000594932,ENST00000600019,ENST00000598544,ENST00000599425,ENST00000598839,ENST00000601107,ENST00000593345</t>
  </si>
  <si>
    <t>ENSP00000470450,ENSP00000343497,ENSP00000470034,ENSP00000473109,ENSP00000471929,ENSP00000472103,ENSP00000471291,ENSP00000468974</t>
  </si>
  <si>
    <t>ENST00000546466,ENST00000546937,ENST00000273308,ENST00000553191,ENST00000551475,ENST00000551286,ENST00000551720,ENST00000551276,ENST00000547570,ENST00000548013,ENST00000553164,ENST00000546388</t>
  </si>
  <si>
    <t>ENSP00000448333,ENSP00000273308,ENSP00000449444,ENSP00000448809,ENSP00000446784</t>
  </si>
  <si>
    <t>ENST00000255681,ENST00000542105,ENST00000538042,ENST00000541041,ENST00000543422,ENST00000545464,ENST00000542359,ENST00000538595</t>
  </si>
  <si>
    <t>NR_073029,NR_073030,NM_006327</t>
  </si>
  <si>
    <t>-,-,NP_006318.1</t>
  </si>
  <si>
    <t>ENST00000574810,ENST00000301336,ENST00000570858,ENST00000573398</t>
  </si>
  <si>
    <t>ENSP00000459101,ENSP00000301336</t>
  </si>
  <si>
    <t>ENST00000392314,ENST00000272771,ENST00000487771,ENST00000409056</t>
  </si>
  <si>
    <t>ENSP00000376128,ENSP00000272771,ENSP00000386871</t>
  </si>
  <si>
    <t>ENST00000628376,ENST00000626072,ENST00000631149,ENST00000627531,ENST00000626611,ENST00000626850,ENST00000625330,ENST00000630486,ENST00000630167,ENST00000627261,ENST00000629813,ENST00000629158,ENST00000628065,ENST00000627591,ENST00000630815,ENST00000629091</t>
  </si>
  <si>
    <t>ENSP00000487232,ENSP00000486571,ENSP00000485836,ENSP00000486299</t>
  </si>
  <si>
    <t>ENST00000333926,ENST00000464703,ENST00000489785,ENST00000488388</t>
  </si>
  <si>
    <t>Homo sapiens keratin 12, type I (KRT12)</t>
  </si>
  <si>
    <t>Homo sapiens electron-transfer-flavoprotein, beta polypeptide (ETFB)</t>
  </si>
  <si>
    <t>NM_001985,NM_001014763</t>
  </si>
  <si>
    <t>NP_001976.1,NP_001014763.1</t>
  </si>
  <si>
    <t>ENST00000354232,ENST00000309244,ENST00000596253,ENST00000594361,ENST00000593992</t>
  </si>
  <si>
    <t>ENSP00000346173,ENSP00000311930,ENSP00000469628</t>
  </si>
  <si>
    <t>NM_021173,NR_046413,NR_046412,NR_046411,NM_001256870</t>
  </si>
  <si>
    <t>NP_066996.3,-,-,-,NP_001243799.1</t>
  </si>
  <si>
    <t>ENST00000529704,ENST00000533429,ENST00000530584,ENST00000312419,ENST00000532830,ENST00000534515,ENST00000528087,ENST00000539074,ENST00000531239,ENST00000524743,ENST00000542982,ENST00000529000</t>
  </si>
  <si>
    <t>ENSP00000481251,ENSP00000436361,ENSP00000311368,ENSP00000479678,ENSP00000444780,ENSP00000433408</t>
  </si>
  <si>
    <t>Homo sapiens growth arrest and DNA-damage-inducible, gamma interacting protein 1 (GADD45GIP1)</t>
  </si>
  <si>
    <t>ENST00000370110,ENST00000474993,ENST00000462391,ENST00000468544</t>
  </si>
  <si>
    <t>Homo sapiens complement component 1, q subcomponent, C chain (C1QC)</t>
  </si>
  <si>
    <t>NM_172369,NM_001114101</t>
  </si>
  <si>
    <t>NP_758957.2,NP_001107573.1</t>
  </si>
  <si>
    <t>ENST00000374640,ENST00000374639,ENST00000374637</t>
  </si>
  <si>
    <t>ENSP00000363771,ENSP00000363770,ENSP00000363768</t>
  </si>
  <si>
    <t>Homo sapiens cyclin B1 interacting protein 1, E3 ubiquitin protein ligase (CCNB1IP1)</t>
  </si>
  <si>
    <t>NM_182852,NM_021178,NM_182849</t>
  </si>
  <si>
    <t>NP_878272.1,NP_067001.3,NP_878269.1</t>
  </si>
  <si>
    <t>ENST00000398160,ENST00000398169,ENST00000358932,ENST00000398163,ENST00000554184,ENST00000556854,ENST00000557665,ENST00000554047,ENST00000556563,ENST00000553291,ENST00000553516,ENST00000555348,ENST00000557114,ENST00000555963,ENST00000437553,ENST00000353689</t>
  </si>
  <si>
    <t>ENSP00000381226,ENSP00000381235,ENSP00000351810,ENSP00000381229,ENSP00000451122,ENSP00000452463,ENSP00000452486,ENSP00000450914,ENSP00000452312,ENSP00000452182,ENSP00000409896,ENSP00000337396</t>
  </si>
  <si>
    <t>NM_002491,NM_001257102</t>
  </si>
  <si>
    <t>NP_002482.1,NP_001244031.1</t>
  </si>
  <si>
    <t>ENST00000450023,ENST00000237889,ENST00000433898,ENST00000454214</t>
  </si>
  <si>
    <t>ENSP00000401834,ENSP00000237889,ENSP00000410600,ENSP00000407336</t>
  </si>
  <si>
    <t>ENST00000471189,ENST00000203407,ENST00000480561,ENST00000415995,ENST00000460105,ENST00000472438,ENST00000412343,ENST00000467690,ENST00000463708,ENST00000493806</t>
  </si>
  <si>
    <t>ENSP00000203407,ENSP00000393696,ENSP00000388660</t>
  </si>
  <si>
    <t>ENST00000593466,ENST00000359866,ENST00000596582,ENST00000596925,ENST00000594501</t>
  </si>
  <si>
    <t>ENSP00000473086,ENSP00000352928,ENSP00000472171</t>
  </si>
  <si>
    <t>ENST00000262498,ENST00000562622,ENST00000564150,ENST00000562443,ENST00000565880,ENST00000567092,ENST00000567660</t>
  </si>
  <si>
    <t>ENSP00000262498,ENSP00000455220</t>
  </si>
  <si>
    <t>Homo sapiens transcription factor B1, mitochondrial (TFB1M)</t>
  </si>
  <si>
    <t>ENST00000367166,ENST00000468889,ENST00000470239,ENST00000495806,ENST00000489874,ENST00000487586,ENST00000475849,ENST00000480390,ENST00000466349</t>
  </si>
  <si>
    <t>NM_018845,NM_001122837,NM_001122839</t>
  </si>
  <si>
    <t>NP_061333.2,NP_001116309.1,NP_001116311.1</t>
  </si>
  <si>
    <t>ENST00000484157,ENST00000490770,ENST00000475824,ENST00000465546,ENST00000490276,ENST00000303343,ENST00000368404,ENST00000368401,ENST00000368405,ENST00000488609,ENST00000506037,ENST00000484027,ENST00000479579,ENST00000622581</t>
  </si>
  <si>
    <t>ENSP00000420189,ENSP00000306146,ENSP00000357389,ENSP00000357386,ENSP00000481368</t>
  </si>
  <si>
    <t>ENST00000261811,ENST00000509589,ENST00000504227,ENST00000509789</t>
  </si>
  <si>
    <t>ENST00000220496,ENST00000561110,ENST00000559238,ENST00000558727,ENST00000560645,ENST00000560065,ENST00000561018,ENST00000559310,ENST00000560301,ENST00000558769,ENST00000561044,ENST00000627802</t>
  </si>
  <si>
    <t>ENSP00000220496,ENSP00000453354,ENSP00000452716,ENSP00000473912,ENSP00000453298,ENSP00000454082,ENSP00000485700</t>
  </si>
  <si>
    <t>NM_002403,NM_017459,NM_001135248,NM_001135247</t>
  </si>
  <si>
    <t>NP_002394.1,NP_059453.1,NP_001128720.1,NP_001128719.1</t>
  </si>
  <si>
    <t>ENST00000375534,ENST00000490075,ENST00000375535,ENST00000476788,ENST00000478684,ENST00000492598</t>
  </si>
  <si>
    <t>ENSP00000364684,ENSP00000364685</t>
  </si>
  <si>
    <t>ENST00000446765,ENST00000452582,ENST00000414013,ENST00000430665,ENST00000422413,ENST00000342166,ENST00000295066</t>
  </si>
  <si>
    <t>ENSP00000345837,ENSP00000295066</t>
  </si>
  <si>
    <t>Homo sapiens LSM1, U6 small nuclear RNA associated (LSM1)</t>
  </si>
  <si>
    <t>NM_014462,NR_045492</t>
  </si>
  <si>
    <t>NP_055277.1,-</t>
  </si>
  <si>
    <t>ENST00000311351,ENST00000520755,ENST00000522515,ENST00000520286,ENST00000523511</t>
  </si>
  <si>
    <t>ENSP00000310596,ENSP00000430021,ENSP00000428307</t>
  </si>
  <si>
    <t>ENST00000237380,ENST00000506409,ENST00000503945,ENST00000499786,ENST00000612711</t>
  </si>
  <si>
    <t>ENSP00000237380,ENSP00000426529,ENSP00000483496</t>
  </si>
  <si>
    <t>ENST00000318203,ENST00000612521</t>
  </si>
  <si>
    <t>ENSP00000321963,ENSP00000480210</t>
  </si>
  <si>
    <t>Homo sapiens glutamate receptor, ionotropic, N-methyl D-aspartate 1 (GRIN1)</t>
  </si>
  <si>
    <t>NM_001185091,NM_000832</t>
  </si>
  <si>
    <t>NP_001172020.1,NP_000823.4</t>
  </si>
  <si>
    <t>ENST00000371561,ENST00000350902,ENST00000471122,ENST00000371550,ENST00000371546,ENST00000371555,ENST00000371553,ENST00000371559,ENST00000371560,ENST00000485413,ENST00000460273,ENST00000473811,ENST00000462584</t>
  </si>
  <si>
    <t>ENSP00000360616,ENSP00000316915,ENSP00000360605,ENSP00000360601,ENSP00000360610,ENSP00000360608,ENSP00000360614,ENSP00000360615</t>
  </si>
  <si>
    <t>Homo sapiens cytochrome P450, family 1, subfamily A, polypeptide 2 (CYP1A2)</t>
  </si>
  <si>
    <t>ENST00000369484,ENST00000369479</t>
  </si>
  <si>
    <t>ENSP00000358496,ENSP00000358491</t>
  </si>
  <si>
    <t>NM_145686,NM_001242560,NM_001242559,NM_145687,NM_004834</t>
  </si>
  <si>
    <t>NP_663719.2,NP_001229489.1,NP_001229488.1,NP_663720.1,NP_004825.3</t>
  </si>
  <si>
    <t>ENST00000462137,ENST00000232496,ENST00000454201,ENST00000421918,ENST00000463304,ENST00000417867</t>
  </si>
  <si>
    <t>ENSP00000232496,ENSP00000399199,ENSP00000409488,ENSP00000394844</t>
  </si>
  <si>
    <t>NM_001167947,NM_005834</t>
  </si>
  <si>
    <t>NP_001161419.1,NP_005825.1</t>
  </si>
  <si>
    <t>ENST00000465150,ENST00000376582,ENST00000466995,ENST00000495490,ENST00000472645,ENST00000490755,ENST00000464663,ENST00000396779</t>
  </si>
  <si>
    <t>ENSP00000477073,ENSP00000365766,ENSP00000476861,ENSP00000477027,ENSP00000477085,ENSP00000379999</t>
  </si>
  <si>
    <t>ENST00000483063,ENST00000485527,ENST00000459636,ENST00000233699,ENST00000465242,ENST00000473023</t>
  </si>
  <si>
    <t>ENST00000374767,ENST00000471001</t>
  </si>
  <si>
    <t>ENST00000483552,ENST00000373699</t>
  </si>
  <si>
    <t>Homo sapiens H2A histone family, member J (H2AFJ)</t>
  </si>
  <si>
    <t>NM_177925,NR_027716</t>
  </si>
  <si>
    <t>NP_808760.1,-</t>
  </si>
  <si>
    <t>ENST00000544848,ENST00000389078,ENST00000501744</t>
  </si>
  <si>
    <t>ENSP00000438553,ENSP00000373730,ENSP00000440902</t>
  </si>
  <si>
    <t>NM_057159,NM_001401</t>
  </si>
  <si>
    <t>NP_476500.1,NP_001392.2</t>
  </si>
  <si>
    <t>ENST00000374431,ENST00000374430,ENST00000358883,ENST00000441240,ENST00000541779</t>
  </si>
  <si>
    <t>ENSP00000363553,ENSP00000363552,ENSP00000351755,ENSP00000401810,ENSP00000445697</t>
  </si>
  <si>
    <t>ENST00000532465,ENST00000325327,ENST00000475819,ENST00000490554,ENST00000527409,ENST00000534495</t>
  </si>
  <si>
    <t>Homo sapiens meteorin, glial cell differentiation regulator (METRN)</t>
  </si>
  <si>
    <t>ENST00000568223,ENST00000570132,ENST00000219542,ENST00000567076,ENST00000564661,ENST00000568415</t>
  </si>
  <si>
    <t>ENSP00000455068,ENSP00000456647,ENSP00000219542,ENSP00000459900,ENSP00000457702</t>
  </si>
  <si>
    <t>NM_001083607,NM_001083606,NM_001083605,NM_001083604,NM_001083603,NM_001083602,NM_000264</t>
  </si>
  <si>
    <t>NP_001077076.1,NP_001077075.1,NP_001077074.1,NP_001077073.1,NP_001077072.1,NP_001077071.1,NP_000255.2</t>
  </si>
  <si>
    <t>ENST00000331920,ENST00000546744,ENST00000375290,ENST00000430669,ENST00000429896,ENST00000375274,ENST00000547615,ENST00000549678,ENST00000375271,ENST00000488809,ENST00000548420,ENST00000553011,ENST00000551845,ENST00000547672,ENST00000546820,ENST00000548379,ENST00000548945,ENST00000550914,ENST00000553256,ENST00000550136,ENST00000468211,ENST00000551630,ENST00000551623,ENST00000551425,ENST00000418258,ENST00000437951,ENST00000421141</t>
  </si>
  <si>
    <t>ENSP00000332353,ENSP00000364439,ENSP00000410287,ENSP00000414823,ENSP00000364423,ENSP00000364420,ENSP00000449078,ENSP00000447797,ENSP00000447008,ENSP00000447878,ENSP00000448843,ENSP00000450047,ENSP00000449745,ENSP00000450131,ENSP00000447242,ENSP00000396135,ENSP00000389744,ENSP00000399981</t>
  </si>
  <si>
    <t>ENST00000583147,ENST00000262120,ENST00000581641</t>
  </si>
  <si>
    <t>ENSP00000463331,ENSP00000262120,ENSP00000464458</t>
  </si>
  <si>
    <t>ENST00000602866,ENST00000298852,ENST00000530912,ENST00000524447,ENST00000530887,ENST00000530651,ENST00000531051,ENST00000527906,ENST00000526993,ENST00000531653,ENST00000528362,ENST00000529500,ENST00000619920</t>
  </si>
  <si>
    <t>ENSP00000473652,ENSP00000298852,ENSP00000433097,ENSP00000433596,ENSP00000437291,ENSP00000431144,ENSP00000432970,ENSP00000432103,ENSP00000435141,ENSP00000481029</t>
  </si>
  <si>
    <t>ENST00000216297,ENST00000557394,ENST00000552829,ENST00000556309,ENST00000556217,ENST00000557652,ENST00000555752,ENST00000555943</t>
  </si>
  <si>
    <t>ENSP00000216297,ENSP00000452259,ENSP00000451517,ENSP00000450910</t>
  </si>
  <si>
    <t>ENST00000342435,ENST00000493432,ENST00000463777,ENST00000487389,ENST00000468985,ENST00000448787,ENST00000488253,ENST00000489775,ENST00000483300,ENST00000484560,ENST00000478267,ENST00000470496,ENST00000462666,ENST00000486631,ENST00000472349,ENST00000494568,ENST00000490745,ENST00000469266,ENST00000477974</t>
  </si>
  <si>
    <t>ENSP00000345494,ENSP00000419680,ENSP00000419228,ENSP00000417792,ENSP00000417469,ENSP00000411675,ENSP00000418654,ENSP00000417733,ENSP00000420006,ENSP00000417588,ENSP00000418103,ENSP00000418550,ENSP00000420523</t>
  </si>
  <si>
    <t>ENST00000373116,ENST00000488606,ENST00000477040,ENST00000462067</t>
  </si>
  <si>
    <t>ENST00000373181,ENST00000373186,ENST00000373188,ENST00000373195,ENST00000340692,ENST00000425303,ENST00000432280,ENST00000473742,ENST00000487924</t>
  </si>
  <si>
    <t>ENSP00000362277,ENSP00000362282,ENSP00000362284,ENSP00000362291,ENSP00000344794,ENSP00000416478,ENSP00000410809,ENSP00000418315</t>
  </si>
  <si>
    <t>NM_001242475,NM_001242472,NM_003419</t>
  </si>
  <si>
    <t>NP_001229404.1,NP_001229401.1,NP_003410.1</t>
  </si>
  <si>
    <t>ENST00000589046,ENST00000586933,ENST00000532141,ENST00000420450,ENST00000526123,ENST00000432005,ENST00000529555,ENST00000331800,ENST00000534729,ENST00000586646,ENST00000525851,ENST00000529989,ENST00000585396,ENST00000614069,ENST00000612719</t>
  </si>
  <si>
    <t>ENSP00000465431,ENSP00000468757,ENSP00000431289,ENSP00000431216,ENSP00000467611,ENSP00000431202,ENSP00000331120,ENSP00000466374,ENSP00000465851,ENSP00000477522,ENSP00000482400</t>
  </si>
  <si>
    <t>ENST00000322989,ENST00000572008,ENST00000563390,ENST00000574723,ENST00000575669,ENST00000576436,ENST00000562935,ENST00000569365,ENST00000576008,ENST00000565420,ENST00000563579,ENST00000569083,ENST00000573554</t>
  </si>
  <si>
    <t>ENSP00000318646,ENSP00000458528,ENSP00000457000,ENSP00000460069,ENSP00000459554,ENSP00000457001,ENSP00000457924,ENSP00000459373,ENSP00000458115,ENSP00000458052,ENSP00000460618</t>
  </si>
  <si>
    <t>Homo sapiens family with sequence similarity 200, member B (FAM200B)</t>
  </si>
  <si>
    <t>ENST00000510920,ENST00000504823,ENST00000504137,ENST00000515697,ENST00000509022,ENST00000510032,ENST00000512855,ENST00000515430,ENST00000505260,ENST00000504598,ENST00000502502,ENST00000503617,ENST00000507305,ENST00000507992,ENST00000513053,ENST00000422728,ENST00000514803,ENST00000508567,ENST00000503600,ENST00000502856,ENST00000510186,ENST00000506610,ENST00000622362</t>
  </si>
  <si>
    <t>ENSP00000422751,ENSP00000393017,ENSP00000483930</t>
  </si>
  <si>
    <t>Homo sapiens adaptor-related protein complex 3, sigma 1 subunit (AP3S1)</t>
  </si>
  <si>
    <t>ENST00000316788,ENST00000514118,ENST00000515066,ENST00000506430,ENST00000395548,ENST00000509055,ENST00000507436,ENST00000505423</t>
  </si>
  <si>
    <t>ENSP00000325369,ENSP00000446179</t>
  </si>
  <si>
    <t>ENST00000338825,ENST00000520657</t>
  </si>
  <si>
    <t>ENST00000372994,ENST00000492588,ENST00000489240,ENST00000486420</t>
  </si>
  <si>
    <t>ENST00000611094,ENST00000610368,ENST00000616904</t>
  </si>
  <si>
    <t>ENSP00000484985,ENSP00000483465</t>
  </si>
  <si>
    <t>ENST00000246802,ENST00000594525,ENST00000598681,ENST00000600410,ENST00000599253,ENST00000599582,ENST00000595143,ENST00000600266,ENST00000597985,ENST00000598959,ENST00000594182,ENST00000598285</t>
  </si>
  <si>
    <t>ENSP00000246802,ENSP00000468948,ENSP00000470263,ENSP00000470190,ENSP00000470773</t>
  </si>
  <si>
    <t>NM_001256892,NM_001256891</t>
  </si>
  <si>
    <t>NP_001243821.1,NP_001243820.1</t>
  </si>
  <si>
    <t>ENST00000265729,ENST00000419179,ENST00000472930,ENST00000490437,ENST00000394641,ENST00000431660,ENST00000457606,ENST00000486860,ENST00000488015,ENST00000489079</t>
  </si>
  <si>
    <t>ENSP00000265729,ENSP00000397609,ENSP00000418512,ENSP00000378137,ENSP00000391148,ENSP00000415271</t>
  </si>
  <si>
    <t>NM_173665,NM_001145678</t>
  </si>
  <si>
    <t>NP_775936.1,NP_001139150.1</t>
  </si>
  <si>
    <t>ENST00000513200,ENST00000504117,ENST00000329378,ENST00000427991</t>
  </si>
  <si>
    <t>ENSP00000424618,ENSP00000331385,ENSP00000400288</t>
  </si>
  <si>
    <t>ENST00000477739,ENST00000466830,ENST00000423894,ENST00000334841,ENST00000418849,ENST00000396610,ENST00000468330,ENST00000495428,ENST00000467644,ENST00000469102,ENST00000482499</t>
  </si>
  <si>
    <t>ENSP00000418348,ENSP00000404581,ENSP00000334960,ENSP00000411302</t>
  </si>
  <si>
    <t>ENST00000634029,ENST00000616009,ENST00000631825,ENST00000633028,ENST00000631739,ENST00000633944,ENST00000633831,ENST00000631595,ENST00000633053,ENST00000633650,ENST00000634045,ENST00000633558,ENST00000631735,ENST00000631860,ENST00000633800|ENST00000617295,ENST00000632291,ENST00000631696</t>
  </si>
  <si>
    <t>ENSP00000488011,ENSP00000484240,ENSP00000488047,ENSP00000488272,ENSP00000488187,ENSP00000488543,ENSP00000487648,ENSP00000487678,ENSP00000488652|ENSP00000480927,ENSP00000488813</t>
  </si>
  <si>
    <t>ENST00000474125,ENST00000433616,ENST00000370215,ENST00000476306,ENST00000470414,ENST00000619208</t>
  </si>
  <si>
    <t>ENSP00000474447,ENSP00000412533,ENSP00000359234,ENSP00000474831,ENSP00000480489</t>
  </si>
  <si>
    <t>ENST00000379389,ENST00000624652,ENST00000624697</t>
  </si>
  <si>
    <t>ENSP00000368699,ENSP00000485313,ENSP00000485643</t>
  </si>
  <si>
    <t>NM_001193306,NM_002029</t>
  </si>
  <si>
    <t>NP_001180235.1,NP_002020.1</t>
  </si>
  <si>
    <t>ENST00000595042,ENST00000304748,ENST00000600815,ENST00000594900</t>
  </si>
  <si>
    <t>ENSP00000471493,ENSP00000302707,ENSP00000472936,ENSP00000470750</t>
  </si>
  <si>
    <t>ENST00000258424,ENST00000464949,ENST00000491989,ENST00000494306</t>
  </si>
  <si>
    <t>Homo sapiens fucosidase, alpha-L- 2, plasma (FUCA2)</t>
  </si>
  <si>
    <t>ENST00000002165,ENST00000451668,ENST00000367585</t>
  </si>
  <si>
    <t>ENSP00000002165,ENSP00000398119</t>
  </si>
  <si>
    <t>NM_001258338,NM_018838</t>
  </si>
  <si>
    <t>NP_001245267.1,NP_061326.1</t>
  </si>
  <si>
    <t>ENST00000552205,ENST00000547447,ENST00000550187,ENST00000547157,ENST00000538372,ENST00000551991,ENST00000327772,ENST00000547986,ENST00000546788</t>
  </si>
  <si>
    <t>ENSP00000449144,ENSP00000448846,ENSP00000450096,ENSP00000330737,ENSP00000450130,ENSP00000448545</t>
  </si>
  <si>
    <t>ENST00000265981,ENST00000534281,ENST00000528665,ENST00000533412,ENST00000530156</t>
  </si>
  <si>
    <t>ENSP00000265981,ENSP00000434320,ENSP00000435086,ENSP00000437167</t>
  </si>
  <si>
    <t>ENST00000577703,ENST00000318388,ENST00000497577,ENST00000583375,ENST00000400033,ENST00000474350,ENST00000483511,ENST00000465096,ENST00000474740</t>
  </si>
  <si>
    <t>ENSP00000461911,ENSP00000327268,ENSP00000464504,ENSP00000382908</t>
  </si>
  <si>
    <t>ENST00000323205,ENST00000248924,ENST00000445195,ENST00000415371,ENST00000478203,ENST00000426858,ENST00000451984</t>
  </si>
  <si>
    <t>ENSP00000371110,ENSP00000248924,ENSP00000406719,ENSP00000402213,ENSP00000388151</t>
  </si>
  <si>
    <t>ENST00000248553,ENST00000447574,ENST00000429938</t>
  </si>
  <si>
    <t>ENSP00000248553,ENSP00000414357,ENSP00000405285</t>
  </si>
  <si>
    <t>NM_001127230,NM_001127229,NM_017900</t>
  </si>
  <si>
    <t>NP_001120702.1,NP_001120701.1,NP_060370.1</t>
  </si>
  <si>
    <t>ENST00000338370,ENST00000338338,ENST00000321751,ENST00000378853,ENST00000489799,ENST00000496905</t>
  </si>
  <si>
    <t>ENSP00000342676,ENSP00000340656,ENSP00000319778,ENSP00000368130</t>
  </si>
  <si>
    <t>Homo sapiens myosin, light chain 6, alkali, smooth muscle and non-muscle (MYL6)</t>
  </si>
  <si>
    <t>ENST00000550697,ENST00000548580,ENST00000550184,ENST00000552297,ENST00000293422,ENST00000348108,ENST00000549017,ENST00000547703,ENST00000549566,ENST00000536128,ENST00000547649,ENST00000548725,ENST00000547408,ENST00000551589,ENST00000550639,ENST00000546630,ENST00000549392,ENST00000548400,ENST00000548293,ENST00000546845,ENST00000551954</t>
  </si>
  <si>
    <t>ENSP00000446955,ENSP00000446640,ENSP00000293422,ENSP00000301540,ENSP00000449086,ENSP00000446709,ENSP00000441750,ENSP00000446714,ENSP00000446721,ENSP00000446687,ENSP00000450116,ENSP00000448859,ENSP00000448101,ENSP00000448457</t>
  </si>
  <si>
    <t>ENST00000367882,ENST00000237316</t>
  </si>
  <si>
    <t>ENSP00000356857,ENSP00000237316</t>
  </si>
  <si>
    <t>NM_182649,NM_002592</t>
  </si>
  <si>
    <t>NP_872590.1,NP_002583.1</t>
  </si>
  <si>
    <t>ENST00000379143,ENST00000379160</t>
  </si>
  <si>
    <t>ENSP00000368438,ENSP00000368458</t>
  </si>
  <si>
    <t>ENST00000274242,ENST00000511787,ENST00000509877,ENST00000507642,ENST00000504562,ENST00000508493</t>
  </si>
  <si>
    <t>ENSP00000274242,ENSP00000422823,ENSP00000426449</t>
  </si>
  <si>
    <t>ENST00000619426,ENST00000610434,ENST00000613870,ENST00000620309,ENST00000614132,ENST00000618159</t>
  </si>
  <si>
    <t>ENSP00000483688,ENSP00000478737,ENSP00000481215,ENSP00000481442</t>
  </si>
  <si>
    <t>ENST00000433552,ENST00000461053,ENST00000494630,ENST00000480009,ENST00000466640</t>
  </si>
  <si>
    <t>NM_001143842,NM_001143843,NM_001143841,NM_024056</t>
  </si>
  <si>
    <t>NP_001137314.1,NP_001137315.1,NP_001137313.1,NP_076961.1</t>
  </si>
  <si>
    <t>ENST00000550146,ENST00000551305,ENST00000256686,ENST00000548153,ENST00000549288,ENST00000552187,ENST00000552561,ENST00000546749,ENST00000552546,ENST00000550552,ENST00000429772,ENST00000550161,ENST00000449758,ENST00000551705,ENST00000548640,ENST00000553217,ENST00000548355,ENST00000548965,ENST00000547136,ENST00000547682,ENST00000615597,ENST00000549287</t>
  </si>
  <si>
    <t>ENSP00000447622,ENSP00000256686,ENSP00000447524,ENSP00000446657,ENSP00000446622,ENSP00000448268,ENSP00000449737,ENSP00000400471,ENSP00000481710,ENSP00000402705,ENSP00000447254,ENSP00000449181,ENSP00000449141,ENSP00000448959,ENSP00000447830,ENSP00000477934</t>
  </si>
  <si>
    <t>NM_001130861,NM_003277</t>
  </si>
  <si>
    <t>NP_001124333.1,NP_003268.2</t>
  </si>
  <si>
    <t>ENST00000406028,ENST00000618236,ENST00000403084,ENST00000413119</t>
  </si>
  <si>
    <t>ENSP00000385477,ENSP00000480623,ENSP00000384554,ENSP00000400612</t>
  </si>
  <si>
    <t>ENST00000463284,ENST00000358435,ENST00000483581,ENST00000405021,ENST00000372879,ENST00000496129,ENST00000621567</t>
  </si>
  <si>
    <t>ENSP00000351214,ENSP00000385203,ENSP00000361970,ENSP00000482963</t>
  </si>
  <si>
    <t>NM_178511,NR_037675</t>
  </si>
  <si>
    <t>NP_848606.3,-</t>
  </si>
  <si>
    <t>ENST00000455270,ENST00000296277,ENST00000433055</t>
  </si>
  <si>
    <t>ENSP00000397240,ENSP00000296277,ENSP00000389356</t>
  </si>
  <si>
    <t>Homo sapiens histone cluster 1, H2bl (HIST1H2BL)|Homo sapiens histone cluster 1, H2bk (HIST1H2BK)|Homo sapiens histone cluster 2, H2bf (HIST2H2BF)|Homo sapiens histone cluster 2, H2ba (pseudogene)|Homo sapiens histone cluster 1, H2bm (HIST1H2BM)|Homo sapiens histone cluster 1, H2bd (HIST1H2BD)|Homo sapiens histone cluster 1, H2bf (HIST1H2BF)|Homo sapiens histone cluster 1, H2bb (HIST1H2BB)|Homo sapiens histone cluster 1, H2be (HIST1H2BE)|Homo sapiens histone cluster 1, H2bi (HIST1H2BI)|Homo sapiens histone cluster 2, H2bc (pseudogene)</t>
  </si>
  <si>
    <t>NM_003519|NM_080593|NM_001024599,NM_001161334|NR_027337|NM_003521|NM_021063,NM_138720|NM_003522|NM_021062|NM_003523|NM_003525|NR_036461</t>
  </si>
  <si>
    <t>NP_003510.1|NP_542160.1|NP_001019770.1,NP_001154806.1|-|NP_003512.1|NP_066407.1,NP_619790.1|NP_003513.1|NP_066406.1|NP_003514.2|NP_003516.1|-</t>
  </si>
  <si>
    <t>ENST00000377401|ENST00000356950|ENST00000420462,ENST00000469483,ENST00000620458,ENST00000369167,ENST00000545683|ENST00000621112|ENST00000377777,ENST00000289316|ENST00000356530|ENST00000615966,ENST00000629531|ENST00000614097|ENST00000377733|ENST00000498492</t>
  </si>
  <si>
    <t>ENSP00000366618|ENSP00000349430|ENSP00000358164,ENSP00000445831|ENSP00000477907|ENSP00000367008,ENSP00000289316|ENSP00000348924|ENSP00000482674,ENSP00000486472|ENSP00000483237|ENSP00000366962|</t>
  </si>
  <si>
    <t>ENST00000371964,ENST00000495524,ENST00000486887</t>
  </si>
  <si>
    <t>NM_207013,NM_007108</t>
  </si>
  <si>
    <t>NP_996896.1,NP_009039.1</t>
  </si>
  <si>
    <t>ENST00000262306,ENST00000409906,ENST00000409477,ENST00000494946,ENST00000572954</t>
  </si>
  <si>
    <t>ENSP00000262306,ENSP00000386652,ENSP00000387189,ENSP00000458213,ENSP00000458443</t>
  </si>
  <si>
    <t>ENST00000479005,ENST00000372945,ENST00000372940,ENST00000471251,ENST00000473427</t>
  </si>
  <si>
    <t>ENSP00000362036,ENSP00000362031</t>
  </si>
  <si>
    <t>ENST00000226004,ENST00000590753,ENST00000590935,ENST00000590342,ENST00000591618</t>
  </si>
  <si>
    <t>ENSP00000226004,ENSP00000466069,ENSP00000468604,ENSP00000467424</t>
  </si>
  <si>
    <t>ENST00000307961,ENST00000567229,ENST00000565723,ENST00000568588,ENST00000561775,ENST00000569696,ENST00000564744,ENST00000564647,ENST00000563473,ENST00000566039,ENST00000564439,ENST00000566622,ENST00000569438,ENST00000566624,ENST00000561554,ENST00000566491,ENST00000564517</t>
  </si>
  <si>
    <t>ENSP00000311430,ENSP00000454281,ENSP00000457442,ENSP00000457268</t>
  </si>
  <si>
    <t>NM_001271082,NM_033120</t>
  </si>
  <si>
    <t>NP_001258011.1,NP_149111.1</t>
  </si>
  <si>
    <t>ENST00000616539,ENST00000610777,ENST00000630368,ENST00000629123,ENST00000625977</t>
  </si>
  <si>
    <t>ENSP00000479003,ENSP00000482896</t>
  </si>
  <si>
    <t>Homo sapiens histone cluster 1, H3g (HIST1H3G)</t>
  </si>
  <si>
    <t>Homo sapiens histone cluster 1, H2bh (HIST1H2BH)|Homo sapiens histone cluster 1, H2bl (HIST1H2BL)|Homo sapiens histone cluster 1, H2be (HIST1H2BE)|Homo sapiens histone cluster 1, H2bk (HIST1H2BK)|Homo sapiens histone cluster 2, H2bf (HIST2H2BF)|Homo sapiens histone cluster 1, H2bn (HIST1H2BN)|Homo sapiens histone cluster 1, H2bm (HIST1H2BM)|Homo sapiens histone cluster 2, H2bc (pseudogene)|Homo sapiens histone cluster 2, H2ba (pseudogene)</t>
  </si>
  <si>
    <t>NM_003524|NM_003519|NM_003523|NM_080593|NM_001024599,NM_001161334|NM_003520|NM_003521|NR_036461|NR_027337</t>
  </si>
  <si>
    <t>NP_003515.1|NP_003510.1|NP_003514.2|NP_542160.1|NP_001019770.1,NP_001154806.1|NP_003511.1|NP_003512.1|-|-</t>
  </si>
  <si>
    <t>ENST00000619466|ENST00000377401|ENST00000614097|ENST00000356950|ENST00000420462,ENST00000469483,ENST00000620458,ENST00000369167,ENST00000545683|ENST00000612898,ENST00000449538,ENST00000606613,ENST00000396980|ENST00000621112|ENST00000498492</t>
  </si>
  <si>
    <t>ENSP00000479169|ENSP00000366618|ENSP00000483237|ENSP00000349430|ENSP00000358164,ENSP00000445831|ENSP00000483903,ENSP00000446031,ENSP00000475942,ENSP00000380177|ENSP00000477907|</t>
  </si>
  <si>
    <t>Homo sapiens hemoglobin, theta 1 (HBQ1)</t>
  </si>
  <si>
    <t>Homo sapiens family with sequence similarity 127, member B (FAM127B)</t>
  </si>
  <si>
    <t>NM_001078172,NM_001134321</t>
  </si>
  <si>
    <t>NP_001071640.1,NP_001127793.1</t>
  </si>
  <si>
    <t>ENST00000518153,ENST00000370775,ENST00000520964,ENST00000522309</t>
  </si>
  <si>
    <t>ENST00000311672,ENST00000489056,ENST00000486951,ENST00000496387,ENST00000460947|ENST00000483273</t>
  </si>
  <si>
    <t>ENSP00000309565,ENSP00000484857,ENSP00000477826|ENSP00000485401</t>
  </si>
  <si>
    <t>ENST00000368830,ENST00000467306,ENST00000468006,ENST00000368829,ENST00000495867,ENST00000478926,ENST00000486707,ENST00000492684,ENST00000481777,ENST00000461182,ENST00000462783</t>
  </si>
  <si>
    <t>ENSP00000357823,ENSP00000357822</t>
  </si>
  <si>
    <t>NM_001244572,NM_197966,NM_001244570,NM_001244569,NM_197967,NM_001196,NM_001244567</t>
  </si>
  <si>
    <t>NP_001231501.1,NP_932070.1,NP_001231499.1,NP_001231498.1,NP_932071.1,NP_001187.1,NP_001231496.1</t>
  </si>
  <si>
    <t>ENST00000317361,ENST00000399774,ENST00000399765,ENST00000494097,ENST00000342111,ENST00000550946,ENST00000551952,ENST00000473439,ENST00000552886,ENST00000622694,ENST00000611040,ENST00000615414,ENST00000614949,ENST00000399767,ENST00000617586</t>
  </si>
  <si>
    <t>ENSP00000318822,ENSP00000382674,ENSP00000382667,ENSP00000344594,ENSP00000449236,ENSP00000480414,ENSP00000483709,ENSP00000483534,ENSP00000477773,ENSP00000382669,ENSP00000481991</t>
  </si>
  <si>
    <t>ENST00000243878,ENST00000602942,ENST00000602644,ENST00000602415,ENST00000602642,ENST00000602409,ENST00000602531</t>
  </si>
  <si>
    <t>ENSP00000243878,ENSP00000473501,ENSP00000483290</t>
  </si>
  <si>
    <t>NM_032627,NM_001009998</t>
  </si>
  <si>
    <t>NP_116016.1,NP_001009998.1</t>
  </si>
  <si>
    <t>ENST00000597724,ENST00000348495,ENST00000270061,ENST00000601357,ENST00000598159,ENST00000607020,ENST00000601614,ENST00000602088,ENST00000600628,ENST00000600244,ENST00000601919,ENST00000601444,ENST00000593641,ENST00000599699,ENST00000625926</t>
  </si>
  <si>
    <t>ENSP00000475538,ENSP00000252807,ENSP00000270061,ENSP00000475668,ENSP00000476092,ENSP00000472975,ENSP00000476084,ENSP00000475352,ENSP00000476567,ENSP00000486132</t>
  </si>
  <si>
    <t>ENST00000585809,ENST00000587001,ENST00000586317,ENST00000590397,ENST00000591985,ENST00000251289,ENST00000607440,ENST00000591997,ENST00000591276,ENST00000590354,ENST00000591155</t>
  </si>
  <si>
    <t>ENSP00000476117,ENSP00000464855,ENSP00000465826,ENSP00000466551,ENSP00000251289,ENSP00000475744,ENSP00000484670,ENSP00000475953</t>
  </si>
  <si>
    <t>Homo sapiens ribonuclease H2, subunit C (RNASEH2C)</t>
  </si>
  <si>
    <t>ENST00000534482,ENST00000308418,ENST00000533698,ENST00000531596,ENST00000528220,ENST00000527610,ENST00000530192</t>
  </si>
  <si>
    <t>ENSP00000432081,ENSP00000308193,ENSP00000434996,ENSP00000435717,ENSP00000431555,ENSP00000432897</t>
  </si>
  <si>
    <t>ENST00000368567,ENST00000392558,ENST00000493224,ENST00000477151</t>
  </si>
  <si>
    <t>ENSP00000357555,ENSP00000376341</t>
  </si>
  <si>
    <t>ENST00000248879,ENST00000405465,ENST00000443409|ENST00000413981,ENST00000331444,ENST00000483718,ENST00000427407,ENST00000608842,ENST00000480608,ENST00000477156,ENST00000436645</t>
  </si>
  <si>
    <t>ENSP00000248879,ENSP00000386052,ENSP00000403341|ENSP00000402409,ENSP00000331681,ENSP00000467483,ENSP00000397633,ENSP00000476388,ENSP00000466276</t>
  </si>
  <si>
    <t>ENST00000353107,ENST00000522439,ENST00000519765</t>
  </si>
  <si>
    <t>ENSP00000342889,ENSP00000430106</t>
  </si>
  <si>
    <t>ENST00000522934,ENST00000520517,ENST00000520468,ENST00000297564,ENST00000606245,ENST00000520271,ENST00000517682,ENST00000524245,ENST00000522940,ENST00000518171,ENST00000523016</t>
  </si>
  <si>
    <t>ENSP00000428702,ENSP00000429991,ENSP00000428895,ENSP00000297564,ENSP00000428150,ENSP00000429714,ENSP00000429410,ENSP00000428965,ENSP00000429755,ENSP00000429707</t>
  </si>
  <si>
    <t>Homo sapiens zinc finger, SWIM-type containing 1 (ZSWIM1)</t>
  </si>
  <si>
    <t>ENST00000372523,ENST00000372520</t>
  </si>
  <si>
    <t>ENSP00000361601,ENSP00000361598</t>
  </si>
  <si>
    <t>ENST00000475165,ENST00000369498,ENST00000484175,ENST00000485289,ENST00000456179,ENST00000471528,ENST00000492303</t>
  </si>
  <si>
    <t>ENSP00000358510,ENSP00000395488</t>
  </si>
  <si>
    <t>ENST00000219169,ENST00000568390,ENST00000568233,ENST00000567105,ENST00000569436,ENST00000568396,ENST00000570026,ENST00000587481</t>
  </si>
  <si>
    <t>ENSP00000219169,ENSP00000456428,ENSP00000457989,ENSP00000457022</t>
  </si>
  <si>
    <t>NR_024163,NM_001826</t>
  </si>
  <si>
    <t>-,NP_001817.1</t>
  </si>
  <si>
    <t>ENST00000368439,ENST00000368436,ENST00000308987,ENST00000477676,ENST00000474215,ENST00000473344,ENST00000471245</t>
  </si>
  <si>
    <t>ENSP00000357424,ENSP00000357421,ENSP00000311083</t>
  </si>
  <si>
    <t>ENST00000601521,ENST00000596314,ENST00000598098,ENST00000598495,ENST00000599909,ENST00000598807,ENST00000596046,ENST00000599232,ENST00000196551</t>
  </si>
  <si>
    <t>ENSP00000470114,ENSP00000471185,ENSP00000470660,ENSP00000471388,ENSP00000472985,ENSP00000196551</t>
  </si>
  <si>
    <t>ENST00000401695,ENST00000521466,ENST00000518139,ENST00000312037,ENST00000519690,ENST00000519855,ENST00000407193</t>
  </si>
  <si>
    <t>ENSP00000385958,ENSP00000428509,ENSP00000429856,ENSP00000311028,ENSP00000428536,ENSP00000385425</t>
  </si>
  <si>
    <t>ENST00000370989,ENST00000475052,ENST00000284562,ENST00000619736</t>
  </si>
  <si>
    <t>ENSP00000360028,ENSP00000284562,ENSP00000482006</t>
  </si>
  <si>
    <t>ENST00000296674,ENST00000510210,ENST00000512493,ENST00000510019,ENST00000507980,ENST00000504293,ENST00000503605,ENST00000511844</t>
  </si>
  <si>
    <t>ENSP00000296674,ENSP00000427043,ENSP00000425865,ENSP00000425833,ENSP00000422071,ENSP00000420900</t>
  </si>
  <si>
    <t>NM_001244938,NM_003329</t>
  </si>
  <si>
    <t>NP_001231867.1,NP_003320.2</t>
  </si>
  <si>
    <t>ENST00000374515,ENST00000374517,ENST00000487892</t>
  </si>
  <si>
    <t>ENSP00000363639,ENSP00000363641</t>
  </si>
  <si>
    <t>Homo sapiens histone cluster 1, H2aj (HIST1H2AJ)</t>
  </si>
  <si>
    <t>NM_015414,NM_033643</t>
  </si>
  <si>
    <t>NP_056229.2,NP_378669.1</t>
  </si>
  <si>
    <t>ENST00000579649,ENST00000582380,ENST00000577222,ENST00000347512,ENST00000582463,ENST00000590786,ENST00000579446,ENST00000394580</t>
  </si>
  <si>
    <t>ENSP00000462609,ENSP00000464342,ENSP00000252543,ENSP00000462927,ENSP00000464613,ENSP00000378081</t>
  </si>
  <si>
    <t>ENST00000380394,ENST00000498815,ENST00000380384,ENST00000315377,ENST00000380381</t>
  </si>
  <si>
    <t>ENSP00000369757,ENSP00000369745,ENSP00000369743,ENSP00000369741</t>
  </si>
  <si>
    <t>NM_001166243,NM_002012</t>
  </si>
  <si>
    <t>NP_001159715.1,NP_002003.1</t>
  </si>
  <si>
    <t>ENST00000476844,ENST00000492590,ENST00000466788,ENST00000468189,ENST00000488467,ENST00000490952,ENST00000465330,ENST00000341848</t>
  </si>
  <si>
    <t>ENSP00000417557,ENSP00000418582,ENSP00000417480,ENSP00000418596,ENSP00000342087</t>
  </si>
  <si>
    <t>NM_000979,NM_001270490,NR_073022</t>
  </si>
  <si>
    <t>NP_000970.1,NP_001257419.1,-</t>
  </si>
  <si>
    <t>ENST00000552347,ENST00000549920,ENST00000547897,ENST00000549533,ENST00000084795,ENST00000550645,ENST00000552588,ENST00000551749,ENST00000547892,ENST00000546623,ENST00000549370,ENST00000549273,ENST00000550973,ENST00000552705,ENST00000552851,ENST00000550671</t>
  </si>
  <si>
    <t>ENSP00000447001,ENSP00000470988,ENSP00000084795,ENSP00000448899,ENSP00000449204,ENSP00000446634,ENSP00000449067,ENSP00000449610,ENSP00000447894</t>
  </si>
  <si>
    <t>Homo sapiens lectin, galactoside-binding, soluble, 3 (LGALS3)</t>
  </si>
  <si>
    <t>NR_003225,NM_001177388,NM_002306</t>
  </si>
  <si>
    <t>-,NP_001170859.1,NP_002297.2</t>
  </si>
  <si>
    <t>ENST00000553493,ENST00000254301,ENST00000553755,ENST00000554715,ENST00000556438,ENST00000556322,ENST00000556263</t>
  </si>
  <si>
    <t>ENSP00000451526,ENSP00000254301,ENSP00000451381</t>
  </si>
  <si>
    <t>ENST00000368708,ENST00000487430,ENST00000497140,ENST00000368710,ENST00000368709,ENST00000368707</t>
  </si>
  <si>
    <t>ENSP00000357697,ENSP00000473260,ENSP00000473489,ENSP00000357699,ENSP00000357698,ENSP00000357696</t>
  </si>
  <si>
    <t>NM_015488,NM_022572</t>
  </si>
  <si>
    <t>NP_056303.3,NP_072094.1</t>
  </si>
  <si>
    <t>ENST00000248451,ENST00000273077,ENST00000469689,ENST00000472650,ENST00000494954,ENST00000258362,ENST00000436005,ENST00000483797</t>
  </si>
  <si>
    <t>ENSP00000248451,ENSP00000273077,ENSP00000258362,ENSP00000414400</t>
  </si>
  <si>
    <t>NM_007083,NM_198041</t>
  </si>
  <si>
    <t>NP_009014.2,NP_932158.1</t>
  </si>
  <si>
    <t>ENST00000608639,ENST00000512116,ENST00000304430,ENST00000339154,ENST00000503370,ENST00000510735,ENST00000502270,ENST00000513517</t>
  </si>
  <si>
    <t>ENSP00000420843,ENSP00000306070,ENSP00000344011,ENSP00000422698,ENSP00000423745,ENSP00000424117</t>
  </si>
  <si>
    <t>NM_198183,NM_004223</t>
  </si>
  <si>
    <t>NP_937826.1,NP_004214.1</t>
  </si>
  <si>
    <t>ENST00000340573,ENST00000287156,ENST00000528275,ENST00000527022,ENST00000526659</t>
  </si>
  <si>
    <t>ENSP00000341980,ENSP00000287156,ENSP00000435265,ENSP00000434348</t>
  </si>
  <si>
    <t>ENST00000247655,ENST00000511472,ENST00000505430,ENST00000509578,ENST00000515763,ENST00000513124,ENST00000510447</t>
  </si>
  <si>
    <t>ENSP00000247655,ENSP00000425759,ENSP00000422012</t>
  </si>
  <si>
    <t>ENST00000373335,ENST00000481445,ENST00000475465</t>
  </si>
  <si>
    <t>Homo sapiens acylphosphatase 2, muscle type (ACYP2)</t>
  </si>
  <si>
    <t>ENST00000606082,ENST00000458030,ENST00000607452,ENST00000422521,ENST00000406041,ENST00000303536,ENST00000394666,ENST00000494922,ENST00000606865</t>
  </si>
  <si>
    <t>ENSP00000475424,ENSP00000475986,ENSP00000475658,ENSP00000385674,ENSP00000306448,ENSP00000378161,ENSP00000475312,ENSP00000475333</t>
  </si>
  <si>
    <t>Homo sapiens HIG1 hypoxia inducible domain family, member 2A (HIGD2A)</t>
  </si>
  <si>
    <t>ENST00000473576,ENST00000378284,ENST00000378272,ENST00000495963,ENST00000242827,ENST00000378270,ENST00000378268</t>
  </si>
  <si>
    <t>ENSP00000367533,ENSP00000367521,ENSP00000242827,ENSP00000367519,ENSP00000367516</t>
  </si>
  <si>
    <t>ENST00000617731,ENST00000633731,ENST00000632419,ENST00000632799,ENST00000632240,ENST00000634150,ENST00000632592,ENST00000632530,ENST00000633919</t>
  </si>
  <si>
    <t>ENSP00000483755,ENSP00000488464,ENSP00000487741</t>
  </si>
  <si>
    <t>ENST00000593353,ENST00000215565</t>
  </si>
  <si>
    <t>ENSP00000473120,ENSP00000215565</t>
  </si>
  <si>
    <t>ENST00000600027,ENST00000599167,ENST00000270625,ENST00000602252,ENST00000596873,ENST00000594493,ENST00000601216,ENST00000599561,ENST00000601306</t>
  </si>
  <si>
    <t>ENSP00000270625,ENSP00000470447,ENSP00000471873,ENSP00000471874,ENSP00000470375</t>
  </si>
  <si>
    <t>NM_001084392,NM_001355</t>
  </si>
  <si>
    <t>NP_001077861.1,NP_001346.1</t>
  </si>
  <si>
    <t>ENST00000272348,ENST00000429728,ENST00000482975,ENST00000438261,ENST00000449935,ENST00000413456,ENST00000454893,ENST00000480370,ENST00000488400</t>
  </si>
  <si>
    <t>ENSP00000272348,ENSP00000441332,ENSP00000402194,ENSP00000391403,ENSP00000416334,ENSP00000393388</t>
  </si>
  <si>
    <t>Homo sapiens ribosomal protein, large, P2 (RPLP2)</t>
  </si>
  <si>
    <t>ENST00000321153,ENST00000532004,ENST00000530797,ENST00000524867,ENST00000530398,ENST00000526222,ENST00000525722,ENST00000527517</t>
  </si>
  <si>
    <t>ENSP00000322419,ENSP00000431240,ENSP00000433443</t>
  </si>
  <si>
    <t>Homo sapiens actin related protein 2/3 complex, subunit 3, 21kDa (ARPC3)</t>
  </si>
  <si>
    <t>NM_001287222,NM_001278556</t>
  </si>
  <si>
    <t>NP_001274151.1,NP_001265485.1</t>
  </si>
  <si>
    <t>ENST00000228825,ENST00000467622,ENST00000426440,ENST00000476566,ENST00000547365,ENST00000548878,ENST00000471641,ENST00000475777,ENST00000549408</t>
  </si>
  <si>
    <t>ENSP00000228825,ENSP00000413221,ENSP00000446598</t>
  </si>
  <si>
    <t>NM_002543,NM_001172632,NM_001172633</t>
  </si>
  <si>
    <t>NP_002534.1,NP_001166103.1,NP_001166104.1</t>
  </si>
  <si>
    <t>ENST00000309539,ENST00000544577,ENST00000543993,ENST00000545927,ENST00000432556,ENST00000536989,ENST00000539518,ENST00000538745,ENST00000339968,ENST00000538873,ENST00000543414</t>
  </si>
  <si>
    <t>ENSP00000309124,ENSP00000444457,ENSP00000445085,ENSP00000439251,ENSP00000405116,ENSP00000442389,ENSP00000438925,ENSP00000340572,ENSP00000438744,ENSP00000444068</t>
  </si>
  <si>
    <t>NM_001034996,NM_003973</t>
  </si>
  <si>
    <t>NP_001030168.1,NP_003964.3</t>
  </si>
  <si>
    <t>ENST00000338970,ENST00000465325,ENST00000396203,ENST00000416518,ENST00000435633,ENST00000479563,ENST00000465280,ENST00000481798,ENST00000461368</t>
  </si>
  <si>
    <t>ENSP00000345156,ENSP00000379506,ENSP00000391446,ENSP00000402476</t>
  </si>
  <si>
    <t>ENST00000531008,ENST00000531908,ENST00000228140,ENST00000526895,ENST00000525634,ENST00000525828,ENST00000533969,ENST00000527571,ENST00000534329,ENST00000528074</t>
  </si>
  <si>
    <t>ENSP00000228140,ENSP00000435777,ENSP00000432096</t>
  </si>
  <si>
    <t>ENST00000427805,ENST00000553110,ENST00000392994,ENST00000491851,ENST00000465340,ENST00000372849,ENST00000465744,ENST00000471855,ENST00000489407,ENST00000614077</t>
  </si>
  <si>
    <t>ENSP00000404375,ENSP00000446503,ENSP00000397659,ENSP00000361940,ENSP00000473451,ENSP00000483017</t>
  </si>
  <si>
    <t>ENST00000370321,ENST00000470843,ENST00000315741,ENST00000461952,ENST00000497519</t>
  </si>
  <si>
    <t>ENSP00000359345,ENSP00000473675,ENSP00000359338</t>
  </si>
  <si>
    <t>Homo sapiens thymosin beta 4, X-linked (TMSB4X)</t>
  </si>
  <si>
    <t>ENST00000451311,ENST00000380636,ENST00000380635,ENST00000380633</t>
  </si>
  <si>
    <t>ENSP00000414376,ENSP00000370010,ENSP00000370009,ENSP00000370007</t>
  </si>
  <si>
    <t>ENST00000321264,ENST00000403782,ENST00000436747,ENST00000400769,ENST00000463932,ENST00000437164,ENST00000454048,ENST00000417686,ENST00000432449,ENST00000496252,ENST00000467427,ENST00000486953,ENST00000470343,ENST00000473126,ENST00000468064,ENST00000445308,ENST00000610344</t>
  </si>
  <si>
    <t>ENSP00000315351,ENSP00000384723,ENSP00000400212,ENSP00000383580,ENSP00000412511,ENSP00000404596,ENSP00000392602,ENSP00000395837,ENSP00000387479,ENSP00000481906</t>
  </si>
  <si>
    <t>NM_001243136,NM_001243135,NM_001098510,NM_145065</t>
  </si>
  <si>
    <t>NP_001230065.1,NP_001230064.1,NP_001091980.1,NP_659502.2</t>
  </si>
  <si>
    <t>ENST00000349459,ENST00000320740,ENST00000532970,ENST00000524466,ENST00000526296,ENST00000531856,ENST00000527230,ENST00000528752,ENST00000618547</t>
  </si>
  <si>
    <t>ENSP00000309848,ENSP00000322532,ENSP00000434314,ENSP00000434677,ENSP00000436722,ENSP00000432449,ENSP00000436161,ENSP00000484220</t>
  </si>
  <si>
    <t>NM_001185096,NM_031426,NM_001185095,NR_033701</t>
  </si>
  <si>
    <t>NP_001172025.1,NP_113614.1,NP_001172024.1,-</t>
  </si>
  <si>
    <t>ENST00000372314,ENST00000247291,ENST00000372302,ENST00000372300,ENST00000472942,ENST00000372298,ENST00000478257,ENST00000372297,ENST00000372301,ENST00000372309</t>
  </si>
  <si>
    <t>ENSP00000361388,ENSP00000247291,ENSP00000361376,ENSP00000361374,ENSP00000361372,ENSP00000361371,ENSP00000361375,ENSP00000361383</t>
  </si>
  <si>
    <t>Homo sapiens glia maturation factor, gamma (GMFG)</t>
  </si>
  <si>
    <t>ENST00000601387,ENST00000597595,ENST00000596583,ENST00000595207,ENST00000598034,ENST00000600322,ENST00000602185,ENST00000253054,ENST00000601731,ENST00000594700,ENST00000595636,ENST00000598218</t>
  </si>
  <si>
    <t>ENSP00000471786,ENSP00000472249,ENSP00000469485,ENSP00000472707,ENSP00000469877,ENSP00000471139,ENSP00000469813,ENSP00000253054,ENSP00000469755,ENSP00000468894,ENSP00000469050</t>
  </si>
  <si>
    <t>NM_001270764,NM_015892</t>
  </si>
  <si>
    <t>NP_001257693.1,NP_056976.2</t>
  </si>
  <si>
    <t>ENST00000346248,ENST00000628426,ENST00000476765,ENST00000462406,ENST00000435907</t>
  </si>
  <si>
    <t>ENSP00000333947,ENSP00000485905,ENSP00000487014,ENSP00000402394</t>
  </si>
  <si>
    <t>Homo sapiens ADAM metallopeptidase with thrombospondin type 1 motif, 1 (ADAMTS1)</t>
  </si>
  <si>
    <t>ENST00000284984,ENST00000464589,ENST00000492656,ENST00000517777,ENST00000451462,ENST00000517452</t>
  </si>
  <si>
    <t>ENSP00000284984,ENSP00000429557,ENSP00000403404,ENSP00000431065</t>
  </si>
  <si>
    <t>ENST00000587935,ENST00000393038,ENST00000409433,ENST00000470557,ENST00000579915</t>
  </si>
  <si>
    <t>ENSP00000376758,ENSP00000387180,ENSP00000464327</t>
  </si>
  <si>
    <t>NM_001037305,NM_001037304,NM_199298,NM_199297,NM_014174</t>
  </si>
  <si>
    <t>NP_001032382.1,NP_001032381.1,NP_954995.1,NP_954994.1,NP_054893.1</t>
  </si>
  <si>
    <t>ENST00000392595,ENST00000341541,ENST00000392594,ENST00000352327,ENST00000531135,ENST00000533975,ENST00000533781,ENST00000525677</t>
  </si>
  <si>
    <t>ENSP00000376374,ENSP00000341657,ENSP00000376373,ENSP00000341452</t>
  </si>
  <si>
    <t>ENST00000263174,ENST00000605497,ENST00000605613,ENST00000496843,ENST00000615664</t>
  </si>
  <si>
    <t>ENSP00000263174,ENSP00000473839,ENSP00000479820</t>
  </si>
  <si>
    <t>ENST00000293861,ENST00000397876,ENST00000493672,ENST00000417493,ENST00000466183,ENST00000481947,ENST00000383018</t>
  </si>
  <si>
    <t>ENSP00000293861,ENSP00000380974,ENSP00000391289,ENSP00000372482</t>
  </si>
  <si>
    <t>NM_148179,NM_148178</t>
  </si>
  <si>
    <t>NP_680545.1,NP_680544.1</t>
  </si>
  <si>
    <t>ENST00000378959,ENST00000297613</t>
  </si>
  <si>
    <t>ENSP00000368242,ENSP00000297613</t>
  </si>
  <si>
    <t>ENST00000260102,ENST00000519831,ENST00000522521</t>
  </si>
  <si>
    <t>ENSP00000260102,ENSP00000428581,ENSP00000429252</t>
  </si>
  <si>
    <t>NM_207387,NM_001113567</t>
  </si>
  <si>
    <t>NP_997270.2,NP_001107039.1</t>
  </si>
  <si>
    <t>ENST00000409887,ENST00000409083,ENST00000470794</t>
  </si>
  <si>
    <t>ENSP00000386504,ENSP00000419502</t>
  </si>
  <si>
    <t>ENST00000355693,ENST00000545127,ENST00000541455,ENST00000537289,ENST00000544575,ENST00000537581</t>
  </si>
  <si>
    <t>ENSP00000347919,ENSP00000443795,ENSP00000440756,ENSP00000437772</t>
  </si>
  <si>
    <t>ENST00000002596,ENST00000514690,ENST00000510712</t>
  </si>
  <si>
    <t>ENSP00000002596,ENSP00000425673,ENSP00000422629</t>
  </si>
  <si>
    <t>NM_001136153,NM_004381</t>
  </si>
  <si>
    <t>NP_001129625.1,NP_004372.3</t>
  </si>
  <si>
    <t>ENST00000425571,ENST00000435768,ENST00000436157,ENST00000462947,ENST00000461317,ENST00000492011,ENST00000483144,ENST00000476416</t>
  </si>
  <si>
    <t>ENSP00000404814,ENSP00000399764,ENSP00000389467</t>
  </si>
  <si>
    <t>ENST00000225728,ENST00000575197,ENST00000574128,ENST00000575519</t>
  </si>
  <si>
    <t>ENSP00000225728,ENSP00000458248,ENSP00000459723</t>
  </si>
  <si>
    <t>Homo sapiens phosphodiesterase 6D, cGMP-specific, rod, delta (PDE6D)</t>
  </si>
  <si>
    <t>ENST00000287600,ENST00000409772,ENST00000428104,ENST00000486044,ENST00000477748</t>
  </si>
  <si>
    <t>ENSP00000287600,ENSP00000387108,ENSP00000399098</t>
  </si>
  <si>
    <t>NM_153620,NM_005522</t>
  </si>
  <si>
    <t>NP_705873.2,NP_005513.1</t>
  </si>
  <si>
    <t>ENST00000343060,ENST00000355633</t>
  </si>
  <si>
    <t>ENSP00000343246,ENSP00000347851</t>
  </si>
  <si>
    <t>NM_130851,NM_130850,NM_001202</t>
  </si>
  <si>
    <t>NP_570912.2,NP_570911.2,NP_001193.2</t>
  </si>
  <si>
    <t>ENST00000245451,ENST00000559087,ENST00000558984,ENST00000559501,ENST00000558961,ENST00000609748,ENST00000559642,ENST00000558489,ENST00000417573</t>
  </si>
  <si>
    <t>ENSP00000245451,ENSP00000453485,ENSP00000454134,ENSP00000453365,ENSP00000453691,ENSP00000476690,ENSP00000453467,ENSP00000394165</t>
  </si>
  <si>
    <t>Homo sapiens histone cluster 1, H3h (HIST1H3H)</t>
  </si>
  <si>
    <t>NM_001166425,NM_002070</t>
  </si>
  <si>
    <t>NP_001159897.1,NP_002061.1</t>
  </si>
  <si>
    <t>ENST00000422163,ENST00000446079,ENST00000491100,ENST00000480090,ENST00000313601,ENST00000441156,ENST00000440628,ENST00000451956,ENST00000490122,ENST00000468422,ENST00000492383,ENST00000266027</t>
  </si>
  <si>
    <t>ENSP00000406871,ENSP00000406065,ENSP00000312999,ENSP00000394321,ENSP00000395736,ENSP00000406369,ENSP00000266027</t>
  </si>
  <si>
    <t>NM_001005339,NM_002925</t>
  </si>
  <si>
    <t>NP_001005339.1,NP_002916.1</t>
  </si>
  <si>
    <t>ENST00000369101,ENST00000369103,ENST00000469575,ENST00000473563,ENST00000392865</t>
  </si>
  <si>
    <t>ENSP00000358097,ENSP00000358099,ENSP00000376605</t>
  </si>
  <si>
    <t>ENST00000448663,ENST00000432658</t>
  </si>
  <si>
    <t>ENST00000396533,ENST00000355591,ENST00000505102,ENST00000543208</t>
  </si>
  <si>
    <t>ENSP00000379784,ENSP00000347799,ENSP00000423519,ENSP00000437439</t>
  </si>
  <si>
    <t>NM_176805,NM_022839</t>
  </si>
  <si>
    <t>NP_789775.1,NP_073750.2</t>
  </si>
  <si>
    <t>ENST00000495313,ENST00000372898,ENST00000608796,ENST00000419867,ENST00000418976,ENST00000320188</t>
  </si>
  <si>
    <t>ENSP00000419719,ENSP00000361989,ENSP00000476650,ENSP00000477295,ENSP00000411469,ENSP00000316609</t>
  </si>
  <si>
    <t>Homo sapiens potassium channel, voltage gated modifier subfamily G, member 1 (KCNG1)</t>
  </si>
  <si>
    <t>ENST00000371571,ENST00000506387,ENST00000439216,ENST00000424171,ENST00000433903,ENST00000447736</t>
  </si>
  <si>
    <t>ENSP00000360626,ENSP00000394075,ENSP00000394093,ENSP00000408116,ENSP00000396058</t>
  </si>
  <si>
    <t>ENST00000374273,ENST00000463973,ENST00000462896,ENST00000454819,ENST00000468248,ENST00000498203,ENST00000430878</t>
  </si>
  <si>
    <t>ENSP00000363391,ENSP00000396670,ENSP00000399231</t>
  </si>
  <si>
    <t>ENST00000308660,ENST00000506088,ENST00000504239,ENST00000515241,ENST00000502289</t>
  </si>
  <si>
    <t>ENSP00000309141,ENSP00000421979</t>
  </si>
  <si>
    <t>ENST00000324941,ENST00000451519</t>
  </si>
  <si>
    <t>ENSP00000320416,ENSP00000413337</t>
  </si>
  <si>
    <t>Homo sapiens chaperonin containing TCP1, subunit 8 (theta)</t>
  </si>
  <si>
    <t>ENST00000433197,ENST00000583077,ENST00000583896,ENST00000579249,ENST00000577567,ENST00000584041,ENST00000583028,ENST00000606895</t>
  </si>
  <si>
    <t>ENSP00000401445,ENSP00000475519</t>
  </si>
  <si>
    <t>XR_937074,NM_001287682</t>
  </si>
  <si>
    <t>-,NP_001274611.1</t>
  </si>
  <si>
    <t>ENST00000596712,ENST00000597229,ENST00000394341</t>
  </si>
  <si>
    <t>ENSP00000472777,ENSP00000472305,ENSP00000377873</t>
  </si>
  <si>
    <t>ENST00000397899,ENST00000464413,ENST00000462314,ENST00000423771,ENST00000428096,ENST00000415261,ENST00000420294,ENST00000612523</t>
  </si>
  <si>
    <t>ENSP00000380996,ENSP00000396657,ENSP00000387902,ENSP00000390799,ENSP00000403428,ENSP00000480530</t>
  </si>
  <si>
    <t>Homo sapiens histone cluster 1, H2bl (HIST1H2BL)|Homo sapiens histone cluster 1, H2bc (HIST1H2BC)|Homo sapiens histone cluster 1, H2bi (HIST1H2BI)|Homo sapiens histone cluster 1, H2bd (HIST1H2BD)|Homo sapiens histone cluster 1, H2bn (HIST1H2BN)|Homo sapiens histone cluster 1, H2be (HIST1H2BE)|Homo sapiens histone cluster 1, H2bf (HIST1H2BF)|Homo sapiens histone cluster 1, H2bh (HIST1H2BH)|Homo sapiens histone cluster 1, H2bk (HIST1H2BK)|Homo sapiens histone cluster 1, H2bm (HIST1H2BM)|Homo sapiens histone cluster 3, H2bb (HIST3H2BB)|Homo sapiens ATP-binding cassette, sub-family F (GCN20)|Homo sapiens histone cluster 1, H2bo (HIST1H2BO)|Homo sapiens histone cluster 1, H2bj (HIST1H2BJ)</t>
  </si>
  <si>
    <t>NM_003519|NM_003526|NM_003525|NM_021063,NM_138720|NM_003520|NM_003523|NM_003522|NM_003524|NM_080593|NM_003521|NM_175055|NM_005692|NM_003527|NM_021058</t>
  </si>
  <si>
    <t>NP_003510.1|NP_003517.2|NP_003516.1|NP_066407.1,NP_619790.1|NP_003511.1|NP_003514.2|NP_003513.1|NP_003515.1|NP_542160.1|NP_003512.1|NP_778225.1|NP_005683.2|NP_003518.2|NP_066402.2</t>
  </si>
  <si>
    <t>ENST00000377401|ENST00000314332,ENST00000396984|ENST00000377733|ENST00000377777,ENST00000289316|ENST00000612898,ENST00000449538,ENST00000606613,ENST00000396980|ENST00000614097|ENST00000356530|ENST00000619466|ENST00000356950|ENST00000621112|ENST00000620438|ENST00000222388,ENST00000287844,ENST00000473874,ENST00000468073,ENST00000441774,ENST00000477252|ENST00000616182|ENST00000607124,ENST00000606923,ENST00000339812</t>
  </si>
  <si>
    <t>ENSP00000366618|ENSP00000321744,ENSP00000380180|ENSP00000366962|ENSP00000367008,ENSP00000289316|ENSP00000483903,ENSP00000446031,ENSP00000475942,ENSP00000380177|ENSP00000483237|ENSP00000348924|ENSP00000479169|ENSP00000349430|ENSP00000477907|ENSP00000479284|ENSP00000222388,ENSP00000287844,ENSP00000419720,ENSP00000395785|ENSP00000477527|ENSP00000476136,ENSP00000475213,ENSP00000342886</t>
  </si>
  <si>
    <t>NM_001164194,NM_001164189,NM_005817</t>
  </si>
  <si>
    <t>NP_001157666.1,NP_001157661.1,NP_005808.3</t>
  </si>
  <si>
    <t>ENST00000221957,ENST00000592528,ENST00000589163,ENST00000585479,ENST00000589034,ENST00000589494,ENST00000587462</t>
  </si>
  <si>
    <t>ENSP00000221957,ENSP00000467803,ENSP00000468476,ENSP00000465596,ENSP00000465975,ENSP00000468096,ENSP00000465117</t>
  </si>
  <si>
    <t>ENST00000262430,ENST00000569024</t>
  </si>
  <si>
    <t>NM_198472,NM_001098483</t>
  </si>
  <si>
    <t>NP_940874.2,NP_001091953.1</t>
  </si>
  <si>
    <t>ENST00000278025,ENST00000368552,ENST00000447176,ENST00000465384,ENST00000368551,ENST00000478895</t>
  </si>
  <si>
    <t>ENSP00000278025,ENSP00000357540,ENSP00000413379,ENSP00000357539</t>
  </si>
  <si>
    <t>ENST00000306010,ENST00000482653,ENST00000482547,ENST00000462672</t>
  </si>
  <si>
    <t>NR_045560,NM_004182,NM_153477</t>
  </si>
  <si>
    <t>-,NP_004173.1,NP_705582.1</t>
  </si>
  <si>
    <t>Homo sapiens histone cluster 1, H2bm (HIST1H2BM)|Homo sapiens histone cluster 1, H2bd (HIST1H2BD)|Homo sapiens histone cluster 1, H2bn (HIST1H2BN)|Homo sapiens histone cluster 1, H2bj (HIST1H2BJ)|Homo sapiens histone cluster 1, H2bo (HIST1H2BO)|Homo sapiens histone cluster 1, H2bc (HIST1H2BC)|Homo sapiens histone cluster 1, H2be (HIST1H2BE)|Homo sapiens histone cluster 1, H2bk (HIST1H2BK)|Homo sapiens histone cluster 1, H2bl (HIST1H2BL)|Homo sapiens histone cluster 1, H2bi (HIST1H2BI)|Homo sapiens histone cluster 2, H2bf (HIST2H2BF)|Homo sapiens histone cluster 2, H2ba (pseudogene)|Homo sapiens histone cluster 2, H2bc (pseudogene)</t>
  </si>
  <si>
    <t>NM_003521|NM_021063,NM_138720|NM_003520|NM_021058|NM_003527|NM_003526|NM_003523|NM_080593|NM_003519|NM_003525|NM_001024599,NM_001161334|NR_027337|NR_036461</t>
  </si>
  <si>
    <t>NP_003512.1|NP_066407.1,NP_619790.1|NP_003511.1|NP_066402.2|NP_003518.2|NP_003517.2|NP_003514.2|NP_542160.1|NP_003510.1|NP_003516.1|NP_001019770.1,NP_001154806.1|-|-</t>
  </si>
  <si>
    <t>ENST00000621112|ENST00000377777,ENST00000289316|ENST00000612898,ENST00000449538,ENST00000606613,ENST00000396980|ENST00000607124,ENST00000606923,ENST00000339812|ENST00000616182|ENST00000314332,ENST00000396984|ENST00000614097|ENST00000356950|ENST00000377401|ENST00000377733|ENST00000420462,ENST00000469483,ENST00000620458,ENST00000369167,ENST00000545683|ENST00000498492</t>
  </si>
  <si>
    <t>ENSP00000477907|ENSP00000367008,ENSP00000289316|ENSP00000483903,ENSP00000446031,ENSP00000475942,ENSP00000380177|ENSP00000476136,ENSP00000475213,ENSP00000342886|ENSP00000477527|ENSP00000321744,ENSP00000380180|ENSP00000483237|ENSP00000349430|ENSP00000366618|ENSP00000366962|ENSP00000358164,ENSP00000445831|</t>
  </si>
  <si>
    <t>ENST00000587926,ENST00000587070,ENST00000591703,ENST00000225992,ENST00000591228,ENST00000587006</t>
  </si>
  <si>
    <t>ENSP00000466546,ENSP00000225992,ENSP00000466009,ENSP00000465711</t>
  </si>
  <si>
    <t>ENST00000306318,ENST00000551105,ENST00000465889</t>
  </si>
  <si>
    <t>ENSP00000302251,ENSP00000448747</t>
  </si>
  <si>
    <t>NM_001146218,NM_004627</t>
  </si>
  <si>
    <t>NP_001139690.1,NP_004618.2</t>
  </si>
  <si>
    <t>ENST00000333781,ENST00000623703,ENST00000487869,ENST00000471468,ENST00000398753,ENST00000442773,ENST00000380713,ENST00000380708,ENST00000466787,ENST00000415847,ENST00000490860,ENST00000478273,ENST00000476914,ENST00000480690</t>
  </si>
  <si>
    <t>ENSP00000327716,ENSP00000485555,ENSP00000381737,ENSP00000409030,ENSP00000370089,ENSP00000370084,ENSP00000485215,ENSP00000410228,ENSP00000485087</t>
  </si>
  <si>
    <t>NM_001001503,NM_021075</t>
  </si>
  <si>
    <t>NP_001001503.1,NP_066553.3</t>
  </si>
  <si>
    <t>ENST00000460259,ENST00000354250,ENST00000340344,ENST00000460740</t>
  </si>
  <si>
    <t>ENSP00000346196,ENSP00000342895</t>
  </si>
  <si>
    <t>NR_045828,NM_019101,NM_001256169</t>
  </si>
  <si>
    <t>-,NP_061974.2,NP_001243098.1</t>
  </si>
  <si>
    <t>ENST00000430282,ENST00000416324,ENST00000452949</t>
  </si>
  <si>
    <t>ENSP00000401684,ENSP00000393581,ENSP00000392489</t>
  </si>
  <si>
    <t>NM_022100,NR_037606</t>
  </si>
  <si>
    <t>NP_071383.1,-</t>
  </si>
  <si>
    <t>ENST00000498253,ENST00000476371,ENST00000367677</t>
  </si>
  <si>
    <t>ENSP00000420714,ENSP00000431220</t>
  </si>
  <si>
    <t>Homo sapiens pro-melanin-concentrating hormone-like 1, pseudogene (PMCHL1)</t>
  </si>
  <si>
    <t>Homo sapiens tumor necrosis factor receptor superfamily, member 10c, decoy without an intracellular domain (TNFRSF10C)</t>
  </si>
  <si>
    <t>ENST00000397703,ENST00000520607,ENST00000356864,ENST00000517558,ENST00000518135</t>
  </si>
  <si>
    <t>ENSP00000380815,ENSP00000349324,ENSP00000428235</t>
  </si>
  <si>
    <t>NM_015004,NR_023353</t>
  </si>
  <si>
    <t>NP_055819.2,-</t>
  </si>
  <si>
    <t>ENST00000481904,ENST00000360454,ENST00000403376,ENST00000467122</t>
  </si>
  <si>
    <t>ENSP00000353639,ENSP00000385898</t>
  </si>
  <si>
    <t>ENST00000502506,ENST00000507754,ENST00000503283,ENST00000511584,ENST00000428459,ENST00000511180,ENST00000606722</t>
  </si>
  <si>
    <t>ENSP00000467274,ENSP00000423673,ENSP00000468317,ENSP00000465129,ENSP00000476093</t>
  </si>
  <si>
    <t>Homo sapiens ribonuclease, RNase A family, 4 (RNASE4)</t>
  </si>
  <si>
    <t>NM_194431,NM_002937</t>
  </si>
  <si>
    <t>NP_919412.1,NP_002928.1</t>
  </si>
  <si>
    <t>ENST00000555835,ENST00000397995,ENST00000555597</t>
  </si>
  <si>
    <t>ENSP00000452245,ENSP00000381081,ENSP00000451624</t>
  </si>
  <si>
    <t>ENST00000326413,ENST00000479191,ENST00000451484,ENST00000426175,ENST00000451222,ENST00000427205</t>
  </si>
  <si>
    <t>ENSP00000420280,ENSP00000419249</t>
  </si>
  <si>
    <t>ENST00000316052,ENST00000525936,ENST00000527954</t>
  </si>
  <si>
    <t>ENSP00000315476,ENSP00000432661,ENSP00000436539</t>
  </si>
  <si>
    <t>Homo sapiens histone cluster 3, H2a (HIST3H2A)</t>
  </si>
  <si>
    <t>Homo sapiens ATPase, H+ transporting V0 subunit e2 (ATP6V0E2)</t>
  </si>
  <si>
    <t>NM_145230,NM_001100592</t>
  </si>
  <si>
    <t>NP_660265.2,NP_001094062.1</t>
  </si>
  <si>
    <t>ENST00000421974,ENST00000456496,ENST00000464683,ENST00000479613,ENST00000606024,ENST00000471877,ENST00000464662,ENST00000425642,ENST00000483478,ENST00000495408,ENST00000490092,ENST00000615196,ENST00000611515</t>
  </si>
  <si>
    <t>ENSP00000411672,ENSP00000410220,ENSP00000420012,ENSP00000417939,ENSP00000475904,ENSP00000420679,ENSP00000475645,ENSP00000396148,ENSP00000481176,ENSP00000482231</t>
  </si>
  <si>
    <t>Homo sapiens nuclear receptor subfamily 2, group F, member 1 (NR2F1)</t>
  </si>
  <si>
    <t>ENST00000327111,ENST00000512697,ENST00000502982,ENST00000506162,ENST00000615873</t>
  </si>
  <si>
    <t>ENSP00000325819,ENSP00000481517</t>
  </si>
  <si>
    <t>ENST00000343262,ENST00000526522,ENST00000526586,ENST00000533186,ENST00000532746,ENST00000533872,ENST00000527109,ENST00000527871,ENST00000530225,ENST00000531065,ENST00000533161,ENST00000529806,ENST00000534461,ENST00000527302,ENST00000526908,ENST00000527826,ENST00000563194</t>
  </si>
  <si>
    <t>ENSP00000341885,ENSP00000436865,ENSP00000460860,ENSP00000436227,ENSP00000434846,ENSP00000436356,ENSP00000433170,ENSP00000433034,ENSP00000454837</t>
  </si>
  <si>
    <t>ENST00000290552,ENST00000558315</t>
  </si>
  <si>
    <t>ENST00000489052,ENST00000324913,ENST00000454841,ENST00000409719,ENST00000469030</t>
  </si>
  <si>
    <t>ENSP00000325655,ENSP00000412731,ENSP00000386994</t>
  </si>
  <si>
    <t>ENST00000311549,ENST00000473558,ENST00000461690,ENST00000272274,ENST00000319826,ENST00000326092,ENST00000493317,ENST00000466550,ENST00000483765,ENST00000485756</t>
  </si>
  <si>
    <t>ENSP00000346027,ENSP00000434298,ENSP00000351021,ENSP00000370574,ENSP00000370569,ENSP00000471695,ENSP00000473246</t>
  </si>
  <si>
    <t>ENST00000491418,ENST00000466212,ENST00000335496,ENST00000375577,ENST00000612240,ENST00000540400</t>
  </si>
  <si>
    <t>ENSP00000420753,ENSP00000335612,ENSP00000364727,ENSP00000483493,ENSP00000440046</t>
  </si>
  <si>
    <t>NM_001260512,NM_001260511,NM_145764,NM_145791,NM_020300,NM_145792,NR_048547,NR_048545</t>
  </si>
  <si>
    <t>NP_001247441.1,NP_001247440.1,NP_665707.1,NP_665734.1,NP_064696.1,NP_665735.1,-,-</t>
  </si>
  <si>
    <t>ENST00000536371,ENST00000534835,ENST00000543076,ENST00000396210,ENST00000539036,ENST00000537878,ENST00000542256,ENST00000539708,ENST00000535309,ENST00000540056,ENST00000540126,ENST00000538885,ENST00000396207,ENST00000538857,ENST00000535624,ENST00000624056,ENST00000359720,ENST00000010404,ENST00000396209</t>
  </si>
  <si>
    <t>ENSP00000442557,ENSP00000442767,ENSP00000379513,ENSP00000438308,ENSP00000437988,ENSP00000442970,ENSP00000440443,ENSP00000379510,ENSP00000010404,ENSP00000379512</t>
  </si>
  <si>
    <t>Homo sapiens histone cluster 2, H2ac (HIST2H2AC)</t>
  </si>
  <si>
    <t>Homo sapiens myosin, light chain 5, regulatory (MYL5)</t>
  </si>
  <si>
    <t>ENST00000506838,ENST00000505477,ENST00000503300,ENST00000502720,ENST00000511290,ENST00000400159,ENST00000513662,ENST00000507804,ENST00000503612</t>
  </si>
  <si>
    <t>ENSP00000427153,ENSP00000423118,ENSP00000424528,ENSP00000425162,ENSP00000383023,ENSP00000423053,ENSP00000427317</t>
  </si>
  <si>
    <t>NM_021107,NM_033363,NM_033362</t>
  </si>
  <si>
    <t>NP_066930.1,NP_203527.1,NP_203526.1</t>
  </si>
  <si>
    <t>ENST00000308018,ENST00000598734,ENST00000407800,ENST00000402029</t>
  </si>
  <si>
    <t>ENSP00000308845,ENSP00000384952,ENSP00000384579</t>
  </si>
  <si>
    <t>NM_032354,NM_183065</t>
  </si>
  <si>
    <t>NP_115730.2,NP_898888.1</t>
  </si>
  <si>
    <t>ENST00000449985,ENST00000532998,ENST00000437139,ENST00000533070,ENST00000316425,ENST00000431792,ENST00000526920,ENST00000529756,ENST00000417073</t>
  </si>
  <si>
    <t>ENSP00000404753,ENSP00000433148,ENSP00000402732,ENSP00000436674,ENSP00000314116,ENSP00000389420</t>
  </si>
  <si>
    <t>ENST00000468640,ENST00000370474</t>
  </si>
  <si>
    <t>NM_198569,NM_020455,NM_001032394,NM_001032395</t>
  </si>
  <si>
    <t>NP_940971.1,NP_065188.4,NP_001027566.1,NP_001027567.1</t>
  </si>
  <si>
    <t>ENST00000230173,ENST00000367608,ENST00000296932,ENST00000367609,ENST00000415128,ENST00000541199,ENST00000435011,ENST00000545477,ENST00000508295,ENST00000540208,ENST00000463637,ENST00000538281,ENST00000472054,ENST00000497898</t>
  </si>
  <si>
    <t>ENSP00000230173,ENSP00000356580,ENSP00000296932,ENSP00000356581,ENSP00000446287,ENSP00000438366,ENSP00000444123,ENSP00000439371</t>
  </si>
  <si>
    <t>ENST00000461158,ENST00000481065,ENST00000486257,ENST00000485814,ENST00000484319,ENST00000496848,ENST00000383671</t>
  </si>
  <si>
    <t>ENSP00000418917,ENSP00000420552,ENSP00000419085,ENSP00000419706,ENSP00000373167</t>
  </si>
  <si>
    <t>ENST00000361518,ENST00000359035,ENST00000482153,ENST00000463816</t>
  </si>
  <si>
    <t>ENSP00000355251,ENSP00000351929</t>
  </si>
  <si>
    <t>ENST00000312475,ENST00000558660,ENST00000559538,ENST00000560703,ENST00000558531</t>
  </si>
  <si>
    <t>ENSP00000312311,ENSP00000477583,ENSP00000453881,ENSP00000477676</t>
  </si>
  <si>
    <t>NM_177542,NM_004597</t>
  </si>
  <si>
    <t>NP_808210.2,NP_004588.1</t>
  </si>
  <si>
    <t>ENST00000342669,ENST00000585392,ENST00000587367,ENST00000588599,ENST00000391932,ENST00000588301,ENST00000590212,ENST00000587579</t>
  </si>
  <si>
    <t>ENSP00000342374,ENSP00000465101,ENSP00000465952,ENSP00000466152,ENSP00000375798,ENSP00000465216,ENSP00000468247</t>
  </si>
  <si>
    <t>ENST00000382723,ENST00000468421</t>
  </si>
  <si>
    <t>Homo sapiens family with sequence similarity 43, member B (FAM43B)</t>
  </si>
  <si>
    <t>ENST00000302422,ENST00000575427,ENST00000576017</t>
  </si>
  <si>
    <t>ENSP00000301939,ENSP00000468314</t>
  </si>
  <si>
    <t>Homo sapiens peptidylprolyl cis/trans isomerase, NIMA-interacting 1 (PIN1)</t>
  </si>
  <si>
    <t>NM_006221,NR_038422,NR_038830</t>
  </si>
  <si>
    <t>NP_006212.1,-,-</t>
  </si>
  <si>
    <t>ENST00000592184,ENST00000587625,ENST00000247970,ENST00000586025,ENST00000590540,ENST00000588695,ENST00000586352,ENST00000585442,ENST00000589058,ENST00000380889,ENST00000591777</t>
  </si>
  <si>
    <t>ENSP00000466656,ENSP00000247970,ENSP00000466962,ENSP00000467197,ENSP00000466780</t>
  </si>
  <si>
    <t>ENST00000581471,ENST00000582363,ENST00000582008,ENST00000580082,ENST00000580684,ENST00000577439</t>
  </si>
  <si>
    <t>Homo sapiens ATP synthase, H+ transporting, mitochondrial Fo complex, subunit s (factor B)</t>
  </si>
  <si>
    <t>NM_015684,NM_001003805,NM_001003803,NR_033761</t>
  </si>
  <si>
    <t>NP_056499.2,NP_001003805.1,NP_001003803.1,-</t>
  </si>
  <si>
    <t>ENST00000554438,ENST00000245448,ENST00000557421,ENST00000555939,ENST00000426751,ENST00000554204,ENST00000311459,ENST00000358473,ENST00000554951,ENST00000553774,ENST00000556962</t>
  </si>
  <si>
    <t>ENSP00000245448,ENSP00000389246,ENSP00000451583,ENSP00000308334,ENSP00000351258</t>
  </si>
  <si>
    <t>ENST00000333503,ENST00000562001</t>
  </si>
  <si>
    <t>ENSP00000330918,ENSP00000457909</t>
  </si>
  <si>
    <t>Homo sapiens L antigen family, member 3 (LAGE3)</t>
  </si>
  <si>
    <t>ENST00000357360,ENST00000621786</t>
  </si>
  <si>
    <t>ENSP00000349923,ENSP00000478022</t>
  </si>
  <si>
    <t>Homo sapiens roundabout, axon guidance receptor, homolog 2 (Drosophila)</t>
  </si>
  <si>
    <t>ENST00000487694,ENST00000602589,ENST00000475034,ENST00000461745,ENST00000332191,ENST00000473767,ENST00000490991,ENST00000471893,ENST00000469233,ENST00000475334,ENST00000470802,ENST00000490534,ENST00000614793</t>
  </si>
  <si>
    <t>ENSP00000417335,ENSP00000473268,ENSP00000417164,ENSP00000327536,ENSP00000418117,ENSP00000418344,ENSP00000418190,ENSP00000418446,ENSP00000417471,ENSP00000480344</t>
  </si>
  <si>
    <t>ENST00000372902,ENST00000480575</t>
  </si>
  <si>
    <t>ENST00000483273|ENST00000311672,ENST00000489056,ENST00000486951,ENST00000496387,ENST00000460947</t>
  </si>
  <si>
    <t>ENSP00000485401|ENSP00000309565,ENSP00000484857,ENSP00000477826</t>
  </si>
  <si>
    <t>NR_073024,NM_001270491,NM_012423</t>
  </si>
  <si>
    <t>-,NP_001257420.1,NP_036555.1</t>
  </si>
  <si>
    <t>ENST00000391857,ENST00000624069,ENST00000472481,ENST00000484279,ENST00000488946,ENST00000479992,ENST00000486930,ENST00000477613,ENST00000467825,ENST00000476268,ENST00000474171,ENST00000468655,ENST00000476300,ENST00000621674</t>
  </si>
  <si>
    <t>ENSP00000375730,ENSP00000485546,ENSP00000470768,ENSP00000470037,ENSP00000477755</t>
  </si>
  <si>
    <t>ENST00000523857,ENST00000521053,ENST00000430863,ENST00000521161,ENST00000621837</t>
  </si>
  <si>
    <t>ENSP00000427945,ENSP00000429433,ENSP00000431031,ENSP00000429440,ENSP00000481783</t>
  </si>
  <si>
    <t>Homo sapiens histone cluster 2, H2bf (HIST2H2BF)|Homo sapiens histone cluster 1, H2bn (HIST1H2BN)|Homo sapiens histone cluster 1, H2be (HIST1H2BE)|Homo sapiens histone cluster 1, H2bk (HIST1H2BK)|Homo sapiens histone cluster 1, H2bl (HIST1H2BL)|Homo sapiens histone cluster 2, H2bc (pseudogene)|Homo sapiens histone cluster 1, H2bi (HIST1H2BI)|Homo sapiens histone cluster 2, H2ba (pseudogene)|Homo sapiens histone cluster 1, H2bc (HIST1H2BC)|Homo sapiens histone cluster 1, H2bj (HIST1H2BJ)|Homo sapiens histone cluster 1, H2bd (HIST1H2BD)|Homo sapiens histone cluster 3, H2bb (HIST3H2BB)|Homo sapiens histone cluster 1, H2bo (HIST1H2BO)|Homo sapiens histone cluster 1, H2bh (HIST1H2BH)|Homo sapiens histone cluster 1, H2bm (HIST1H2BM)</t>
  </si>
  <si>
    <t>NM_001024599,NM_001161334|NM_003520|NM_003523|NM_080593|NM_003519|NR_036461|NM_003525|NR_027337|NM_003526|NM_021058|NM_021063,NM_138720|NM_175055|NM_003527|NM_003524|NM_003521</t>
  </si>
  <si>
    <t>NP_001019770.1,NP_001154806.1|NP_003511.1|NP_003514.2|NP_542160.1|NP_003510.1|-|NP_003516.1|-|NP_003517.2|NP_066402.2|NP_066407.1,NP_619790.1|NP_778225.1|NP_003518.2|NP_003515.1|NP_003512.1</t>
  </si>
  <si>
    <t>ENST00000420462,ENST00000469483,ENST00000620458,ENST00000369167,ENST00000545683|ENST00000612898,ENST00000449538,ENST00000606613,ENST00000396980|ENST00000614097|ENST00000356950|ENST00000377401|ENST00000498492|ENST00000377733|ENST00000314332,ENST00000396984|ENST00000607124,ENST00000606923,ENST00000339812|ENST00000377777,ENST00000289316|ENST00000620438|ENST00000616182|ENST00000619466|ENST00000621112</t>
  </si>
  <si>
    <t>ENSP00000358164,ENSP00000445831|ENSP00000483903,ENSP00000446031,ENSP00000475942,ENSP00000380177|ENSP00000483237|ENSP00000349430|ENSP00000366618||ENSP00000366962|ENSP00000321744,ENSP00000380180|ENSP00000476136,ENSP00000475213,ENSP00000342886|ENSP00000367008,ENSP00000289316|ENSP00000479284|ENSP00000477527|ENSP00000479169|ENSP00000477907</t>
  </si>
  <si>
    <t>Homo sapiens solute carrier family 35, member F1 (SLC35F1)</t>
  </si>
  <si>
    <t>ENST00000360388,ENST00000621341</t>
  </si>
  <si>
    <t>ENSP00000353557,ENSP00000484738</t>
  </si>
  <si>
    <t>ENST00000360127,ENST00000571106,ENST00000491373,ENST00000575151,ENST00000629953</t>
  </si>
  <si>
    <t>ENSP00000353245,ENSP00000458320,ENSP00000419482,ENSP00000466848</t>
  </si>
  <si>
    <t>Homo sapiens ATP synthase, H+ transporting, mitochondrial F1 complex, delta subunit (ATP5D)</t>
  </si>
  <si>
    <t>NM_001001975,NM_001687</t>
  </si>
  <si>
    <t>NP_001001975.1,NP_001678.1</t>
  </si>
  <si>
    <t>ENST00000395633,ENST00000215375,ENST00000592624,ENST00000590265,ENST00000588538,ENST00000591660,ENST00000591249,ENST00000589478,ENST00000614837</t>
  </si>
  <si>
    <t>ENSP00000378995,ENSP00000215375,ENSP00000464863,ENSP00000477964</t>
  </si>
  <si>
    <t>ENST00000617807|ENST00000633387,ENST00000634171|ENST00000621994</t>
  </si>
  <si>
    <t>ENSP00000478017|ENSP00000488781,ENSP00000488130|ENSP00000479203</t>
  </si>
  <si>
    <t>NM_001256947,NM_182533,NR_046427</t>
  </si>
  <si>
    <t>NP_001243876.1,NP_872339.2,-</t>
  </si>
  <si>
    <t>ENST00000469733,ENST00000428120,ENST00000414253,ENST00000400918,ENST00000497675,ENST00000378543,ENST00000378546,ENST00000401813,ENST00000487186,ENST00000476803,ENST00000440825,ENST00000420515,ENST00000514625,ENST00000420964,ENST00000400919</t>
  </si>
  <si>
    <t>ENSP00000405430,ENSP00000410450,ENSP00000383709,ENSP00000367804,ENSP00000367808,ENSP00000410740,ENSP00000409721,ENSP00000383710</t>
  </si>
  <si>
    <t>Homo sapiens transmembrane protease, serine 11F (TMPRSS11F)</t>
  </si>
  <si>
    <t>Homo sapiens olfactory receptor, family 3, subfamily A, member 1 (OR3A1)</t>
  </si>
  <si>
    <t>ENST00000323404,ENST00000615105</t>
  </si>
  <si>
    <t>ENSP00000313803,ENSP00000484269</t>
  </si>
  <si>
    <t>ENST00000374514,ENST00000420982,ENST00000374505,ENST00000495365,ENST00000374503,ENST00000374502,ENST00000492577,ENST00000421070,ENST00000374501,ENST00000472213</t>
  </si>
  <si>
    <t>ENSP00000363638,ENSP00000409004,ENSP00000363629,ENSP00000363627,ENSP00000363626,ENSP00000388003,ENSP00000363625</t>
  </si>
  <si>
    <t>ENST00000261783,ENST00000557120,ENST00000556491,ENST00000557319</t>
  </si>
  <si>
    <t>ENST00000216034,ENST00000492561</t>
  </si>
  <si>
    <t>ENST00000391588,ENST00000581033</t>
  </si>
  <si>
    <t>ENST00000573155,ENST00000614687</t>
  </si>
  <si>
    <t>ENSP00000461385,ENSP00000481658</t>
  </si>
  <si>
    <t>ENST00000317881,ENST00000475354,ENST00000460013,ENST00000463551</t>
  </si>
  <si>
    <t>ENST00000414322,ENST00000459806,ENST00000407834,ENST00000413999,ENST00000452886,ENST00000621682|ENST00000337801,ENST00000460527,ENST00000471878,ENST00000474778,ENST00000429564</t>
  </si>
  <si>
    <t>ENSP00000391528,ENSP00000384894,ENSP00000407457,ENSP00000395897,ENSP00000481577|ENSP00000337144,ENSP00000405899</t>
  </si>
  <si>
    <t>Homo sapiens family with sequence similarity 96, member A (FAM96A)</t>
  </si>
  <si>
    <t>NM_001014812,NM_032231</t>
  </si>
  <si>
    <t>NP_001014812.1,NP_115607.1</t>
  </si>
  <si>
    <t>ENST00000300030,ENST00000558779,ENST00000380290,ENST00000559705,ENST00000557835,ENST00000559950</t>
  </si>
  <si>
    <t>ENSP00000300030,ENSP00000369644,ENSP00000453210,ENSP00000454079,ENSP00000452953</t>
  </si>
  <si>
    <t>ENST00000294189,ENST00000466397,ENST00000480306,ENST00000479017,ENST00000495383,ENST00000475248,ENST00000492277,ENST00000481629,ENST00000486565|ENST00000498671,ENST00000488409</t>
  </si>
  <si>
    <t>ENSP00000294189,ENSP00000418868,ENSP00000419333,ENSP00000418153,ENSP00000420673,ENSP00000417048,ENSP00000418346,ENSP00000418839|</t>
  </si>
  <si>
    <t>ENST00000524821,ENST00000313465,ENST00000534680,ENST00000532827,ENST00000527462</t>
  </si>
  <si>
    <t>ENSP00000436621,ENSP00000316262,ENSP00000434593,ENSP00000437092,ENSP00000436060</t>
  </si>
  <si>
    <t>ENST00000323345,ENST00000496554,ENST00000463740,ENST00000426651,ENST00000468019,ENST00000485706,ENST00000315731,ENST00000489392,ENST00000492798</t>
  </si>
  <si>
    <t>ENSP00000361076,ENSP00000416638,ENSP00000361071</t>
  </si>
  <si>
    <t>ENST00000409978,ENST00000488692,ENST00000486958,ENST00000483305,ENST00000411874,ENST00000433605,ENST00000430382,ENST00000398800</t>
  </si>
  <si>
    <t>ENSP00000387020,ENSP00000399688,ENSP00000413620,ENSP00000381780</t>
  </si>
  <si>
    <t>NM_002942,NM_001128929</t>
  </si>
  <si>
    <t>NP_002933.1,NP_001122401.1</t>
  </si>
  <si>
    <t>Homo sapiens spindlin family, member 2A (SPIN2A)|Homo sapiens spindlin family, member 2B (SPIN2B)</t>
  </si>
  <si>
    <t>NM_019003|NM_001006683,NM_001006682,NM_001006681</t>
  </si>
  <si>
    <t>NP_061876.3|NP_001006684.1,NP_001006683.1,NP_001006682.1</t>
  </si>
  <si>
    <t>ENST00000374908,ENST00000374906,ENST00000614076|ENST00000460948,ENST00000374910,ENST00000275988,ENST00000374912,ENST00000434397,ENST00000333933</t>
  </si>
  <si>
    <t>ENSP00000364043,ENSP00000364041,ENSP00000483149|ENSP00000364045,ENSP00000275988,ENSP00000364047,ENSP00000404314,ENSP00000335008</t>
  </si>
  <si>
    <t>Homo sapiens cytochrome P450, family 4, subfamily A, polypeptide 22 (CYP4A22)|Homo sapiens cytochrome P450, family 4, subfamily A, polypeptide 11 (CYP4A11)</t>
  </si>
  <si>
    <t>NM_001163558,NM_000948</t>
  </si>
  <si>
    <t>NP_001157030.1,NP_000939.1</t>
  </si>
  <si>
    <t>ENST00000306482,ENST00000617911,ENST00000615510</t>
  </si>
  <si>
    <t>ENSP00000302150,ENSP00000480195,ENSP00000478566</t>
  </si>
  <si>
    <t>ENST00000367048,ENST00000467951,ENST00000472052</t>
  </si>
  <si>
    <t>Homo sapiens dynein, light chain, LC8-type 1 (DYNLL1)</t>
  </si>
  <si>
    <t>NM_003746,NM_001037495,NM_001037494</t>
  </si>
  <si>
    <t>NP_003737.1,NP_001032584.1,NP_001032583.1</t>
  </si>
  <si>
    <t>ENST00000392509,ENST00000549649,ENST00000548342,ENST00000242577,ENST00000548214,ENST00000392508,ENST00000550178,ENST00000550845,ENST00000549989,ENST00000552870,ENST00000552316</t>
  </si>
  <si>
    <t>ENSP00000376297,ENSP00000448834,ENSP00000447907,ENSP00000242577,ENSP00000448608,ENSP00000376296,ENSP00000446596,ENSP00000447494,ENSP00000446614,ENSP00000449088</t>
  </si>
  <si>
    <t>NM_001267810,NM_181468,NM_002212,NR_052023</t>
  </si>
  <si>
    <t>NP_001254739.1,NP_852133.1,NP_002203.1,-</t>
  </si>
  <si>
    <t>ENST00000440766,ENST00000374436,ENST00000374443,ENST00000447927,ENST00000374450,ENST00000415116,ENST00000462894,ENST00000456600,ENST00000621148</t>
  </si>
  <si>
    <t>ENSP00000395907,ENSP00000363559,ENSP00000363566,ENSP00000411450,ENSP00000363574,ENSP00000415044,ENSP00000390897,ENSP00000483289</t>
  </si>
  <si>
    <t>ENST00000357484,ENST00000460685,ENST00000560096</t>
  </si>
  <si>
    <t>ENSP00000350075,ENSP00000453687,ENSP00000453006</t>
  </si>
  <si>
    <t>Homo sapiens ubiquinol-cytochrome c reductase, complex III subunit XI (UQCR11)</t>
  </si>
  <si>
    <t>ENST00000591899,ENST00000593264,ENST00000589880,ENST00000593029,ENST00000585671</t>
  </si>
  <si>
    <t>ENSP00000467262,ENSP00000467555,ENSP00000466420</t>
  </si>
  <si>
    <t>ENST00000311083,ENST00000548783,ENST00000552330,ENST00000546966,ENST00000547435,ENST00000547557,ENST00000551725</t>
  </si>
  <si>
    <t>ENSP00000310901,ENSP00000449824,ENSP00000450056,ENSP00000450143</t>
  </si>
  <si>
    <t>ENST00000301788,ENST00000533442,ENST00000525455,ENST00000524819,ENST00000531944,ENST00000527435,ENST00000531996,ENST00000526368</t>
  </si>
  <si>
    <t>ENSP00000301788,ENSP00000432198,ENSP00000433529,ENSP00000431624,ENSP00000433877,ENSP00000435669</t>
  </si>
  <si>
    <t>ENST00000535968,ENST00000478913,ENST00000472806,ENST00000486641,ENST00000498725,ENST00000470191,ENST00000432954,ENST00000449575,ENST00000474193,ENST00000380701</t>
  </si>
  <si>
    <t>ENSP00000438838,ENSP00000399526,ENSP00000409055,ENSP00000370077</t>
  </si>
  <si>
    <t>ENST00000373602,ENST00000469003,ENST00000421922,ENST00000461819,ENST00000483009</t>
  </si>
  <si>
    <t>ENSP00000362704,ENSP00000435036,ENSP00000413017,ENSP00000431257</t>
  </si>
  <si>
    <t>ENST00000254878,ENST00000522791,ENST00000520507,ENST00000521560,ENST00000519608,ENST00000519155</t>
  </si>
  <si>
    <t>ENSP00000254878,ENSP00000429321,ENSP00000428596,ENSP00000430482</t>
  </si>
  <si>
    <t>ENST00000263278,ENST00000596349,ENST00000599157,ENST00000595764</t>
  </si>
  <si>
    <t>ENSP00000263278,ENSP00000471631,ENSP00000472746,ENSP00000469557</t>
  </si>
  <si>
    <t>ENST00000372890,ENST00000460320,ENST00000461180</t>
  </si>
  <si>
    <t>ENST00000276585,ENST00000519386,ENST00000521434,ENST00000521605,ENST00000519120,ENST00000520946,ENST00000518271,ENST00000518371,ENST00000522987</t>
  </si>
  <si>
    <t>ENSP00000276585,ENSP00000428050,ENSP00000428880,ENSP00000427965,ENSP00000428744,ENSP00000430401,ENSP00000427846,ENSP00000476135</t>
  </si>
  <si>
    <t>NM_079423,NM_021019</t>
  </si>
  <si>
    <t>NP_524147.2,NP_066299.2</t>
  </si>
  <si>
    <t>NM_148976,NM_001143937,NM_002786</t>
  </si>
  <si>
    <t>NP_683877.1,NP_001137409.1,NP_002777.1</t>
  </si>
  <si>
    <t>Homo sapiens centrin, EF-hand protein, 2 (CETN2)</t>
  </si>
  <si>
    <t>ENST00000370277,ENST00000493482</t>
  </si>
  <si>
    <t>NM_198216,NM_003091</t>
  </si>
  <si>
    <t>NP_937859.1,NP_003082.1</t>
  </si>
  <si>
    <t>ENST00000381342,ENST00000438552,ENST00000474384,ENST00000339610</t>
  </si>
  <si>
    <t>ENSP00000370746,ENSP00000412566,ENSP00000474579,ENSP00000342305</t>
  </si>
  <si>
    <t>NM_001243661,NM_001243660,NM_001243657,NM_001105663</t>
  </si>
  <si>
    <t>NP_001230590.1,NP_001230589.1,NP_001230586.1,NP_001099133.1</t>
  </si>
  <si>
    <t>ENST00000564085,ENST00000268533,ENST00000568787,ENST00000437314,ENST00000563839,ENST00000564031,ENST00000613075</t>
  </si>
  <si>
    <t>ENSP00000457566,ENSP00000268533,ENSP00000456363,ENSP00000387707,ENSP00000454617,ENSP00000479582</t>
  </si>
  <si>
    <t>NM_001270879,NM_016098,NR_073093</t>
  </si>
  <si>
    <t>NP_001257808.1,NP_057182.1,-</t>
  </si>
  <si>
    <t>ENST00000360961,ENST00000487218,ENST00000366868,ENST00000475708,ENST00000341756,ENST00000621685,ENST00000621630</t>
  </si>
  <si>
    <t>ENSP00000354223,ENSP00000340784,ENSP00000477853,ENSP00000479789</t>
  </si>
  <si>
    <t>NM_198175,NM_000269|NR_037149,NM_001018136</t>
  </si>
  <si>
    <t>NP_937818.1,NP_000260.1|-,NP_001018146.1</t>
  </si>
  <si>
    <t>ENST00000393196,ENST00000487481,ENST00000336097,ENST00000480143,ENST00000512768,ENST00000511355,ENST00000475573,ENST00000013034,ENST00000456492,ENST00000465188|ENST00000393193,ENST00000376392,ENST00000555572</t>
  </si>
  <si>
    <t>ENSP00000376892,ENSP00000337060,ENSP00000429318,ENSP00000428553,ENSP00000435498,ENSP00000013034,ENSP00000387682|ENSP00000376889,ENSP00000365572,ENSP00000451932</t>
  </si>
  <si>
    <t>Homo sapiens H2A histone family, member Z (H2AFZ)</t>
  </si>
  <si>
    <t>ENST00000511348,ENST00000511203,ENST00000296417,ENST00000511319,ENST00000529158,ENST00000527366</t>
  </si>
  <si>
    <t>Homo sapiens adaptor-related protein complex 2, sigma 1 subunit (AP2S1)</t>
  </si>
  <si>
    <t>NM_004069,NM_021575</t>
  </si>
  <si>
    <t>NP_004060.2,NP_067586.1</t>
  </si>
  <si>
    <t>ENST00000352203,ENST00000601498,ENST00000599990,ENST00000593442,ENST00000263270,ENST00000600964,ENST00000597020,ENST00000598027,ENST00000601649,ENST00000597421</t>
  </si>
  <si>
    <t>ENSP00000263271,ENSP00000470176,ENSP00000471340,ENSP00000472080,ENSP00000263270,ENSP00000470235,ENSP00000470898</t>
  </si>
  <si>
    <t>NM_148170,NM_001114173</t>
  </si>
  <si>
    <t>NP_680475.1,NP_001107645.1</t>
  </si>
  <si>
    <t>ENST00000227266,ENST00000533897,ENST00000527018,ENST00000533865,ENST00000524463,ENST00000528020,ENST00000529974,ENST00000393301,ENST00000534131</t>
  </si>
  <si>
    <t>ENSP00000227266,ENSP00000432556,ENSP00000432541,ENSP00000433229,ENSP00000433539</t>
  </si>
  <si>
    <t>Homo sapiens histone cluster 1, H2bj (HIST1H2BJ)</t>
  </si>
  <si>
    <t>ENST00000607124,ENST00000606923,ENST00000339812</t>
  </si>
  <si>
    <t>ENSP00000476136,ENSP00000475213,ENSP00000342886</t>
  </si>
  <si>
    <t>Homo sapiens calcium channel, voltage-dependent, L type, alpha 1F subunit (CACNA1F)</t>
  </si>
  <si>
    <t>NM_005183,NM_001256790,NM_001256789</t>
  </si>
  <si>
    <t>NP_005174.2,NP_001243719.1,NP_001243718.1</t>
  </si>
  <si>
    <t>ENST00000376251,ENST00000323022,ENST00000376265,ENST00000486943,ENST00000481035,ENST00000480889</t>
  </si>
  <si>
    <t>ENSP00000365427,ENSP00000321618,ENSP00000365441,ENSP00000418961</t>
  </si>
  <si>
    <t>ENST00000584205,ENST00000462733,ENST00000585101,ENST00000474627,ENST00000467560,ENST00000496852,ENST00000581698,ENST00000469327,ENST00000465337,ENST00000488753,ENST00000444058,ENST00000577586,ENST00000497871</t>
  </si>
  <si>
    <t>ENSP00000462899,ENSP00000463920,ENSP00000463861,ENSP00000417190,ENSP00000466008,ENSP00000397198</t>
  </si>
  <si>
    <t>ENST00000532157,ENST00000265421,ENST00000520008,ENST00000518925,ENST00000519094,ENST00000530566,ENST00000522297,ENST00000522610,ENST00000519771,ENST00000524208,ENST00000521290,ENST00000519524,ENST00000518579,ENST00000523465,ENST00000517393,ENST00000521492,ENST00000521418</t>
  </si>
  <si>
    <t>ENSP00000432084,ENSP00000265421,ENSP00000430610,ENSP00000430784,ENSP00000429436,ENSP00000427799,ENSP00000428578,ENSP00000429597,ENSP00000430478,ENSP00000428144,ENSP00000430831</t>
  </si>
  <si>
    <t>ENST00000496817,ENST00000368719,ENST00000368720,ENST00000462776,ENST00000462951</t>
  </si>
  <si>
    <t>ENSP00000473589,ENSP00000357708,ENSP00000357709,ENSP00000473547</t>
  </si>
  <si>
    <t>NM_001083612,NM_001013619</t>
  </si>
  <si>
    <t>NP_001077081.1,NP_001013641.2</t>
  </si>
  <si>
    <t>ENST00000566289,ENST00000566332,ENST00000569878,ENST00000563233,ENST00000388988,ENST00000408962</t>
  </si>
  <si>
    <t>ENSP00000456614,ENSP00000457154,ENSP00000455459,ENSP00000454850,ENSP00000373640,ENSP00000386197</t>
  </si>
  <si>
    <t>ENST00000413981,ENST00000331444,ENST00000483718,ENST00000427407,ENST00000608842,ENST00000480608,ENST00000477156,ENST00000436645|ENST00000248879,ENST00000405465,ENST00000443409</t>
  </si>
  <si>
    <t>ENSP00000402409,ENSP00000331681,ENSP00000467483,ENSP00000397633,ENSP00000476388,ENSP00000466276|ENSP00000248879,ENSP00000386052,ENSP00000403341</t>
  </si>
  <si>
    <t>ENST00000588752,ENST00000589238,ENST00000269159,ENST00000590107,ENST00000383376,ENST00000590138,ENST00000588927,ENST00000588863,ENST00000588167,ENST00000586230,ENST00000589374,ENST00000625802</t>
  </si>
  <si>
    <t>ENSP00000465416,ENSP00000269159,ENSP00000466059,ENSP00000372867,ENSP00000465938,ENSP00000464767,ENSP00000464754,ENSP00000486461</t>
  </si>
  <si>
    <t>NM_001130715,NM_001130716,NM_016619</t>
  </si>
  <si>
    <t>NP_001124187.1,NP_001124188.1,NP_057703.1</t>
  </si>
  <si>
    <t>ENST00000311507,ENST00000411416,ENST00000515389,ENST00000509973,ENST00000505406,ENST00000426923</t>
  </si>
  <si>
    <t>ENSP00000309509,ENSP00000412230,ENSP00000423459,ENSP00000422526,ENSP00000399700</t>
  </si>
  <si>
    <t>NM_013232,NM_001267559,NM_001267558,NM_001267556</t>
  </si>
  <si>
    <t>NP_037364.1,NP_001254488.1,NP_001254487.1,NP_001254485.1</t>
  </si>
  <si>
    <t>ENST00000585853,ENST00000400514,ENST00000400512,ENST00000589405,ENST00000585331,ENST00000586445,ENST00000317615,ENST00000590217,ENST00000586587,ENST00000588824</t>
  </si>
  <si>
    <t>ENSP00000476763,ENSP00000477442,ENSP00000325919,ENSP00000467060,ENSP00000468103</t>
  </si>
  <si>
    <t>NM_001042521,NM_001042520,NM_001042519,NM_032321</t>
  </si>
  <si>
    <t>NP_001035986.1,NP_001035985.1,NP_001035984.1,NP_115697.2</t>
  </si>
  <si>
    <t>ENST00000478197,ENST00000495546,ENST00000490033,ENST00000450357,ENST00000396974,ENST00000409545,ENST00000409870,ENST00000340623,ENST00000443551</t>
  </si>
  <si>
    <t>ENSP00000394370,ENSP00000380172,ENSP00000386976,ENSP00000386649,ENSP00000345107,ENSP00000405225</t>
  </si>
  <si>
    <t>NM_001143681,NM_015917</t>
  </si>
  <si>
    <t>NP_001137153.1,NP_057001.1</t>
  </si>
  <si>
    <t>ENST00000436038,ENST00000409500,ENST00000443571,ENST00000358406,ENST00000442394,ENST00000479303,ENST00000494735,ENST00000473649,ENST00000489654</t>
  </si>
  <si>
    <t>ENSP00000408341,ENSP00000386944,ENSP00000415813,ENSP00000351181,ENSP00000406802,ENSP00000431049</t>
  </si>
  <si>
    <t>NM_031901,NM_018997</t>
  </si>
  <si>
    <t>NP_114107.1,NP_061870.1</t>
  </si>
  <si>
    <t>Homo sapiens late endosomal/lysosomal adaptor, MAPK and MTOR activator 4 (LAMTOR4)</t>
  </si>
  <si>
    <t>ENST00000341942,ENST00000474141,ENST00000460732,ENST00000474831,ENST00000494136,ENST00000441173,ENST00000468582,ENST00000488241,ENST00000473459,ENST00000466498,ENST00000488338,ENST00000490633</t>
  </si>
  <si>
    <t>ENSP00000343118,ENSP00000477680,ENSP00000479176,ENSP00000387926,ENSP00000478095,ENSP00000479500,ENSP00000479685,ENSP00000480432,ENSP00000481202</t>
  </si>
  <si>
    <t>Homo sapiens major histocompatibility complex, class II, DR alpha (HLA-DRA)</t>
  </si>
  <si>
    <t>ENST00000414698,ENST00000493431,ENST00000418111</t>
  </si>
  <si>
    <t>ENSP00000402951,ENSP00000412562</t>
  </si>
  <si>
    <t>NM_017767,NM_130849</t>
  </si>
  <si>
    <t>NP_060237.2,NP_570901.2</t>
  </si>
  <si>
    <t>ENST00000527148,ENST00000529462,ENST00000530807,ENST00000532718,ENST00000276833,ENST00000301305,ENST00000531013,ENST00000531789,ENST00000526658</t>
  </si>
  <si>
    <t>ENSP00000276833,ENSP00000301305,ENSP00000434512</t>
  </si>
  <si>
    <t>ENST00000398606,ENST00000398603,ENST00000494593,ENST00000489040,ENST00000498765,ENST00000467591,ENST00000495996</t>
  </si>
  <si>
    <t>ENSP00000381607,ENSP00000381604,ENSP00000484929,ENSP00000484686</t>
  </si>
  <si>
    <t>NM_001142350,NM_024339</t>
  </si>
  <si>
    <t>NP_001135822.1,NP_077315.2</t>
  </si>
  <si>
    <t>ENST00000576143,ENST00000574957,ENST00000326266,ENST00000574549,ENST00000571057,ENST00000575576,ENST00000574498,ENST00000573704,ENST00000253952,ENST00000571046</t>
  </si>
  <si>
    <t>ENSP00000326531,ENSP00000458295,ENSP00000460015,ENSP00000253952</t>
  </si>
  <si>
    <t>Homo sapiens solute carrier family 25, member 48 (SLC25A48)</t>
  </si>
  <si>
    <t>ENST00000425402,ENST00000274513,ENST00000433282,ENST00000412661,ENST00000462340,ENST00000510147,ENST00000471980</t>
  </si>
  <si>
    <t>ENSP00000408750,ENSP00000274513,ENSP00000399834,ENSP00000413049,ENSP00000421427</t>
  </si>
  <si>
    <t>Homo sapiens late endosomal/lysosomal adaptor, MAPK and MTOR activator 1 (LAMTOR1)</t>
  </si>
  <si>
    <t>ENST00000545249,ENST00000535107,ENST00000544594,ENST00000278671,ENST00000538404,ENST00000535872,ENST00000539797,ENST00000541403</t>
  </si>
  <si>
    <t>ENSP00000440738,ENSP00000445170,ENSP00000438717,ENSP00000278671,ENSP00000439011,ENSP00000439482</t>
  </si>
  <si>
    <t>NM_001199876,NM_001199878,NM_001199877,NM_001199875,NM_001018108,NR_037672|NR_037673</t>
  </si>
  <si>
    <t>NP_001186805.1,NP_001186807.1,NP_001186806.1,NP_001186804.1,NP_001018118.1,-|-</t>
  </si>
  <si>
    <t>ENST00000474290,ENST00000381359,ENST00000249786,ENST00000486144,ENST00000409960,ENST00000409646,ENST00000445816,ENST00000339624,ENST00000409291,ENST00000409617,ENST00000448830,ENST00000475927,ENST00000402131,ENST00000403425,ENST00000430901,ENST00000409614,ENST00000630046</t>
  </si>
  <si>
    <t>ENSP00000370764,ENSP00000249786,ENSP00000387187,ENSP00000386316,ENSP00000400178,ENSP00000339647,ENSP00000387041,ENSP00000386290,ENSP00000391027,ENSP00000386044,ENSP00000384300,ENSP00000394660,ENSP00000386783,ENSP00000486542</t>
  </si>
  <si>
    <t>ENST00000334482,ENST00000301522,ENST00000466174,ENST00000498785,ENST00000478908,ENST00000477555</t>
  </si>
  <si>
    <t>ENSP00000334063,ENSP00000301522</t>
  </si>
  <si>
    <t>ENST00000576910,ENST00000393456,ENST00000571658,ENST00000415811,ENST00000575949,ENST00000225567,ENST00000571048,ENST00000572403,ENST00000570879,ENST00000573224</t>
  </si>
  <si>
    <t>ENSP00000461673,ENSP00000377101,ENSP00000394559,ENSP00000458911,ENSP00000225567,ENSP00000460760,ENSP00000458154,ENSP00000461784</t>
  </si>
  <si>
    <t>ENST00000491607,ENST00000482728,ENST00000307106,ENST00000477703,ENST00000476842</t>
  </si>
  <si>
    <t>Homo sapiens HAUS augmin-like complex, subunit 1 (HAUS1)</t>
  </si>
  <si>
    <t>NM_138443,NR_026978</t>
  </si>
  <si>
    <t>NP_612452.1,-</t>
  </si>
  <si>
    <t>ENST00000282058,ENST00000592471,ENST00000591098,ENST00000586060,ENST00000591715,ENST00000592206,ENST00000585518,ENST00000589554,ENST00000593165,ENST00000588704,ENST00000595199,ENST00000585425</t>
  </si>
  <si>
    <t>ENSP00000282058,ENSP00000468575,ENSP00000466364,ENSP00000465093,ENSP00000465492,ENSP00000467975,ENSP00000466715,ENSP00000465622</t>
  </si>
  <si>
    <t>ENST00000435819,ENST00000480599,ENST00000309881,ENST00000534394,ENST00000526804,ENST00000478292,ENST00000438020,ENST00000436384,ENST00000428497,ENST00000441109,ENST00000482059,ENST00000394788,ENST00000447544,ENST00000426978,ENST00000413265,ENST00000419819,ENST00000441034,ENST00000464213,ENST00000488048,ENST00000433696,ENST00000432207,ENST00000538969,ENST00000544133</t>
  </si>
  <si>
    <t>ENSP00000399421,ENSP00000308165,ENSP00000431296,ENSP00000410371,ENSP00000398760,ENSP00000409762,ENSP00000433659,ENSP00000378268,ENSP00000415743,ENSP00000416388,ENSP00000407690,ENSP00000392298,ENSP00000396258,ENSP00000435698,ENSP00000401863,ENSP00000411411,ENSP00000439543,ENSP00000441956</t>
  </si>
  <si>
    <t>NR_002944|NM_001011725,NM_001011724</t>
  </si>
  <si>
    <t>-|NP_001011725.1,NP_001011724.1</t>
  </si>
  <si>
    <t>ENST00000562726,ENST00000565308|ENST00000357495</t>
  </si>
  <si>
    <t>NM_002038,NM_022872</t>
  </si>
  <si>
    <t>NP_002029.3,NP_075010.1</t>
  </si>
  <si>
    <t>Homo sapiens POU domain class 5, transcription factor 2 (POU5F2)</t>
  </si>
  <si>
    <t>ENST00000606183,ENST00000510627</t>
  </si>
  <si>
    <t>NM_001039083,NM_001103154|NM_016632</t>
  </si>
  <si>
    <t>NP_001034172.3,NP_001096624.1|NP_057716.2</t>
  </si>
  <si>
    <t>NM_001206426,NM_001206427,NM_032747</t>
  </si>
  <si>
    <t>NP_001193355.1,NP_001193356.1,NP_116136.1</t>
  </si>
  <si>
    <t>ENST00000369825,ENST00000369811,ENST00000369815,ENST00000309579,ENST00000337003</t>
  </si>
  <si>
    <t>ENSP00000358840,ENSP00000358826,ENSP00000358830,ENSP00000311245,ENSP00000337705</t>
  </si>
  <si>
    <t>ENST00000447619,ENST00000456793,ENST00000429985</t>
  </si>
  <si>
    <t>ENSP00000454411,ENSP00000457935,ENSP00000455716</t>
  </si>
  <si>
    <t>NM_024348,NM_007234</t>
  </si>
  <si>
    <t>NP_077324.1,NP_009165.1</t>
  </si>
  <si>
    <t>ENST00000472418,ENST00000479399,ENST00000421919,ENST00000341694,ENST00000259632,ENST00000477738,ENST00000481438,ENST00000472074,ENST00000378913,ENST00000378911,ENST00000378916</t>
  </si>
  <si>
    <t>ENSP00000390842,ENSP00000343986,ENSP00000259632,ENSP00000432915,ENSP00000368193,ENSP00000368191,ENSP00000368196</t>
  </si>
  <si>
    <t>ENST00000368234,ENST00000368235,ENST00000368233,ENST00000467374,ENST00000488840</t>
  </si>
  <si>
    <t>ENSP00000357217,ENSP00000357218,ENSP00000357216</t>
  </si>
  <si>
    <t>ENST00000497505,ENST00000449802,ENST00000478884,ENST00000492870,ENST00000460416,ENST00000483147,ENST00000463830,ENST00000414576,ENST00000460355,ENST00000434469</t>
  </si>
  <si>
    <t>ENSP00000399903,ENSP00000388466,ENSP00000411142</t>
  </si>
  <si>
    <t>Homo sapiens small nucleolar RNA, C/D box 46 (SNORD46)</t>
  </si>
  <si>
    <t>NM_001193637,NM_001193636,NM_001193635,NM_198083|NM_021004</t>
  </si>
  <si>
    <t>NP_001180566.1,NP_001180565.1,NP_001180564.1,NP_932349.2|NP_066284.2</t>
  </si>
  <si>
    <t>Homo sapiens variable charge, Y-linked 1B (VCY1B)|Homo sapiens variable charge, Y-linked (VCY)</t>
  </si>
  <si>
    <t>ENST00000602491,ENST00000334600|ENST00000632257|ENST00000400814|ENST00000376098|ENST00000376098</t>
  </si>
  <si>
    <t>NM_021004|NM_001193637,NM_001193636,NM_001193635,NM_198083</t>
  </si>
  <si>
    <t>NP_066284.2|NP_001180566.1,NP_001180565.1,NP_001180564.1,NP_932349.2</t>
  </si>
  <si>
    <t>ENST00000422514,ENST00000582736,ENST00000496182,ENST00000394938,ENST00000394935,ENST00000355731,ENST00000472628,ENST00000578181,ENST00000580755</t>
  </si>
  <si>
    <t>ENSP00000389103,ENSP00000468172,ENSP00000378396,ENSP00000468402,ENSP00000347969,ENSP00000466425,ENSP00000465342</t>
  </si>
  <si>
    <t>ENST00000373570,ENST00000493018,ENST00000487431,ENST00000348462,ENST00000495728,ENST00000629845</t>
  </si>
  <si>
    <t>ENSP00000362671,ENSP00000437215,ENSP00000259469,ENSP00000486088</t>
  </si>
  <si>
    <t>ENST00000245185,ENST00000563985,ENST00000562017,ENST00000561491,ENST00000567300</t>
  </si>
  <si>
    <t>ENSP00000245185,ENSP00000456804</t>
  </si>
  <si>
    <t>ENST00000550920,ENST00000550952,ENST00000356769,ENST00000552540,ENST00000393891,ENST00000548386,ENST00000548563,ENST00000546392,ENST00000547914,ENST00000546410,ENST00000549259,ENST00000551775,ENST00000552055,ENST00000546862,ENST00000549855,ENST00000551793,ENST00000551520,ENST00000550343,ENST00000548084,ENST00000546917,ENST00000454682</t>
  </si>
  <si>
    <t>ENSP00000448039,ENSP00000448035,ENSP00000349212,ENSP00000447821,ENSP00000377469,ENSP00000447705,ENSP00000446801,ENSP00000446745,ENSP00000447133,ENSP00000450383,ENSP00000446933,ENSP00000447764,ENSP00000447207,ENSP00000447666,ENSP00000403817</t>
  </si>
  <si>
    <t>Homo sapiens sushi, von Willebrand factor type A, EGF and pentraxin domain containing 1 (SVEP1)</t>
  </si>
  <si>
    <t>ENST00000374469,ENST00000476205,ENST00000467821,ENST00000374461,ENST00000401783</t>
  </si>
  <si>
    <t>ENSP00000363593,ENSP00000363585,ENSP00000384917</t>
  </si>
  <si>
    <t>ENST00000411630,ENST00000441504,ENST00000425653,ENST00000444958,ENST00000623036</t>
  </si>
  <si>
    <t>ENST00000586680,ENST00000328434</t>
  </si>
  <si>
    <t>ENSP00000467546,ENSP00000354762</t>
  </si>
  <si>
    <t>NM_004269,NM_001253881,NM_001253882|NR_003665</t>
  </si>
  <si>
    <t>NP_004260.2,NP_001240810.1,NP_001240811.1|-</t>
  </si>
  <si>
    <t>ENST00000357028,ENST00000292035,ENST00000444872,ENST00000474263</t>
  </si>
  <si>
    <t>ENSP00000349530,ENSP00000292035,ENSP00000477136</t>
  </si>
  <si>
    <t>Homo sapiens calmin (calponin-like, transmembrane)</t>
  </si>
  <si>
    <t>ENST00000298912,ENST00000557215,ENST00000557696,ENST00000556454,ENST00000556441,ENST00000556416,ENST00000555336,ENST00000555615,ENST00000553733</t>
  </si>
  <si>
    <t>ENSP00000298912,ENSP00000452305,ENSP00000451705,ENSP00000452525,ENSP00000451189</t>
  </si>
  <si>
    <t>NM_001195203,NM_001130057,NM_001130055,NM_001130053,NM_001960,NM_032378,NM_001130056</t>
  </si>
  <si>
    <t>NP_001182132.1,NP_001123529.1,NP_001123527.1,NP_001123525.2,NP_001951.2,NP_115754.3,NP_001123528.1</t>
  </si>
  <si>
    <t>ENST00000632659,ENST00000633728,ENST00000631698,ENST00000619144,ENST00000632675,ENST00000614575,ENST00000632587,ENST00000631650,ENST00000632965,ENST00000632423,ENST00000633339,ENST00000633150,ENST00000631863,ENST00000632402,ENST00000632115,ENST00000634175,ENST00000633686,ENST00000634156,ENST00000633641,ENST00000633605,ENST00000631430,ENST00000633697,ENST00000634157,ENST00000633396,ENST00000631585,ENST00000632238,ENST00000632162,ENST00000631850,ENST00000633394,ENST00000633090,ENST00000633928,ENST00000632241,ENST00000633058,ENST00000633887,ENST00000632626,ENST00000631688,ENST00000632733,ENST00000631763,ENST00000633476,ENST00000631875,ENST00000633259,ENST00000633857,ENST00000632871,ENST00000619198,ENST00000615698,ENST00000615067,ENST00000620155</t>
  </si>
  <si>
    <t>ENSP00000488514,ENSP00000488672,ENSP00000477608,ENSP00000488026,ENSP00000478340,ENSP00000487680,ENSP00000488005,ENSP00000488275,ENSP00000487745,ENSP00000488901,ENSP00000488663,ENSP00000488233,ENSP00000487710,ENSP00000488200,ENSP00000487713,ENSP00000488535,ENSP00000488298,ENSP00000488544,ENSP00000488549,ENSP00000487777,ENSP00000488411,ENSP00000488733,ENSP00000488795,ENSP00000488244,ENSP00000487621,ENSP00000488129,ENSP00000488247,ENSP00000488738,ENSP00000487641,ENSP00000488220,ENSP00000487890,ENSP00000487932,ENSP00000487871,ENSP00000488681,ENSP00000488167,ENSP00000488400,ENSP00000487622,ENSP00000478271,ENSP00000483527,ENSP00000479653,ENSP00000480505</t>
  </si>
  <si>
    <t>NM_001145102,NM_001145103,NM_001145104</t>
  </si>
  <si>
    <t>NP_001138574.1,NP_001138575.1,NP_001138576.1</t>
  </si>
  <si>
    <t>ENST00000559460,ENST00000327367,ENST00000559937,ENST00000559092,ENST00000560175,ENST00000540846,ENST00000558894,ENST00000439724,ENST00000558739,ENST00000537194,ENST00000558428,ENST00000558827,ENST00000560402,ENST00000560424,ENST00000558763</t>
  </si>
  <si>
    <t>ENSP00000453082,ENSP00000332973,ENSP00000453788,ENSP00000455095,ENSP00000437757,ENSP00000458060,ENSP00000401133,ENSP00000453684,ENSP00000445348,ENSP00000454165,ENSP00000452767,ENSP00000455540</t>
  </si>
  <si>
    <t>NM_001257098,NM_001257097,NM_001252500,NM_001252499,NR_046433,NR_046432,NR_027365</t>
  </si>
  <si>
    <t>NP_001244027.1,NP_001244026.1,NP_001239429.1,NP_001239428.1,-,-,-</t>
  </si>
  <si>
    <t>ENST00000536063,ENST00000618250,ENST00000623153,ENST00000538700,ENST00000535978,ENST00000366285,ENST00000489288,ENST00000464682,ENST00000538636,ENST00000461997</t>
  </si>
  <si>
    <t>ENSP00000479598,ENSP00000445936,ENSP00000442677,ENSP00000444654,ENSP00000438590,ENSP00000442319,ENSP00000438828</t>
  </si>
  <si>
    <t>ENST00000579761,ENST00000245539,ENST00000579002,ENST00000583407,ENST00000577767,ENST00000581993,ENST00000584678</t>
  </si>
  <si>
    <t>ENSP00000463263,ENSP00000245539,ENSP00000463683,ENSP00000462677,ENSP00000463870,ENSP00000462506</t>
  </si>
  <si>
    <t>ENST00000416516,ENST00000498047</t>
  </si>
  <si>
    <t>NM_033251,NM_000977,NM_001243130</t>
  </si>
  <si>
    <t>NP_150254.1,NP_000968.2,NP_001230059.1</t>
  </si>
  <si>
    <t>ENST00000311528,ENST00000491523,ENST00000563749,ENST00000484610,ENST00000563270,ENST00000567815,ENST00000487034,ENST00000562879,ENST00000565571,ENST00000452368,ENST00000467736,ENST00000393099,ENST00000399461,ENST00000570149,ENST00000472354</t>
  </si>
  <si>
    <t>ENSP00000307889,ENSP00000457686,ENSP00000455009,ENSP00000457174,ENSP00000438959,ENSP00000464612,ENSP00000376811,ENSP00000462380</t>
  </si>
  <si>
    <t>ENST00000303904,ENST00000465027,ENST00000419210,ENST00000418625,ENST00000472107,ENST00000468499,ENST00000496358,ENST00000474823,ENST00000426712,ENST00000483891</t>
  </si>
  <si>
    <t>ENSP00000304102,ENSP00000388865,ENSP00000400617,ENSP00000413702</t>
  </si>
  <si>
    <t>NM_001012271,NM_001012270,NM_001168</t>
  </si>
  <si>
    <t>NP_001012271.1,NP_001012270.1,NP_001159.2</t>
  </si>
  <si>
    <t>ENST00000301633,ENST00000350051,ENST00000590925,ENST00000374948,ENST00000590449,ENST00000592734,ENST00000592115,ENST00000586192,ENST00000587746,ENST00000591800,ENST00000589892</t>
  </si>
  <si>
    <t>ENSP00000301633,ENSP00000324180,ENSP00000467336,ENSP00000364086,ENSP00000465868,ENSP00000466617,ENSP00000466063,ENSP00000466675,ENSP00000467259</t>
  </si>
  <si>
    <t>ENST00000464097,ENST00000372874,ENST00000536532,ENST00000492931,ENST00000539235,ENST00000537820,ENST00000545776,ENST00000536076,ENST00000535573</t>
  </si>
  <si>
    <t>ENSP00000361965,ENSP00000440946,ENSP00000446464,ENSP00000441818</t>
  </si>
  <si>
    <t>ENST00000359429,ENST00000436630,ENST00000408981,ENST00000454822,ENST00000429921,ENST00000453724,ENST00000438265,ENST00000429907,ENST00000441588,ENST00000445268,ENST00000452025,ENST00000438204,ENST00000438191,ENST00000411934,ENST00000435437,ENST00000354506|ENST00000441178</t>
  </si>
  <si>
    <t>ENSP00000352401,ENSP00000403808,ENSP00000386194,ENSP00000394455,ENSP00000401838,ENSP00000412245,ENSP00000397674,ENSP00000392279,ENSP00000416805,ENSP00000405695,ENSP00000400449,ENSP00000402061,ENSP00000411405,ENSP00000389411,ENSP00000411186,ENSP00000346501|ENSP00000476672</t>
  </si>
  <si>
    <t>Homo sapiens coenzyme Q7 homolog, ubiquinone (yeast)</t>
  </si>
  <si>
    <t>NM_016138,NM_001190983</t>
  </si>
  <si>
    <t>NP_057222.2,NP_001177912.1</t>
  </si>
  <si>
    <t>ENST00000321998,ENST00000566049,ENST00000568985,ENST00000566110,ENST00000564746,ENST00000569312,ENST00000544894,ENST00000561858,ENST00000569127,ENST00000567314,ENST00000569259</t>
  </si>
  <si>
    <t>ENSP00000322316,ENSP00000456490,ENSP00000456734,ENSP00000456943,ENSP00000459076,ENSP00000442923,ENSP00000457256,ENSP00000455122</t>
  </si>
  <si>
    <t>NM_016410,NM_001195536</t>
  </si>
  <si>
    <t>NP_057494.3,NP_001182465.1</t>
  </si>
  <si>
    <t>ENST00000223500,ENST00000487080,ENST00000419016</t>
  </si>
  <si>
    <t>ENSP00000223500,ENSP00000442725</t>
  </si>
  <si>
    <t>NR_037646|NM_015959,NM_001144012,NR_037645,NR_026593</t>
  </si>
  <si>
    <t>-|NP_057043.1,NP_001137484.1,-,-</t>
  </si>
  <si>
    <t>ENST00000524972,ENST00000378312,ENST00000530114,ENST00000278422,ENST00000525035,ENST00000533602,ENST00000528110,ENST00000529403,ENST00000528042</t>
  </si>
  <si>
    <t>ENSP00000437257,ENSP00000367562,ENSP00000436013,ENSP00000278422,ENSP00000431695,ENSP00000434002,ENSP00000431333,ENSP00000437023</t>
  </si>
  <si>
    <t>ENST00000298510,ENST00000494433,ENST00000463322</t>
  </si>
  <si>
    <t>Homo sapiens CCHC-type zinc finger, nucleic acid binding protein (CNBP)</t>
  </si>
  <si>
    <t>NM_001127196,NM_001127195,NM_001127194,NM_001127193,NM_001127192,NM_003418</t>
  </si>
  <si>
    <t>NP_001120668.1,NP_001120667.1,NP_001120666.1,NP_001120665.1,NP_001120664.1,NP_003409.1</t>
  </si>
  <si>
    <t>ENST00000502976,ENST00000422453,ENST00000451728,ENST00000446936,ENST00000500450,ENST00000504813,ENST00000441626,ENST00000502372,ENST00000512338,ENST00000507573</t>
  </si>
  <si>
    <t>ENSP00000421323,ENSP00000410619,ENSP00000399488,ENSP00000400444,ENSP00000426223,ENSP00000422110,ENSP00000410769,ENSP00000424787</t>
  </si>
  <si>
    <t>ENST00000412716,ENST00000552173,ENST00000549555,ENST00000439799,ENST00000425012,ENST00000551919,ENST00000549041,ENST00000549732,ENST00000604900,ENST00000436900,ENST00000551534,ENST00000552459,ENST00000549497,ENST00000551313,ENST00000449723</t>
  </si>
  <si>
    <t>ENSP00000394699,ENSP00000448051,ENSP00000398804,ENSP00000408251,ENSP00000446554,ENSP00000474597,ENSP00000404968,ENSP00000447842,ENSP00000412812</t>
  </si>
  <si>
    <t>NM_012412,NM_201517,NM_201436</t>
  </si>
  <si>
    <t>NP_036544.1,NP_958925.1,NP_958844.1</t>
  </si>
  <si>
    <t>NM_003429,NM_001256173,NM_001256171</t>
  </si>
  <si>
    <t>NP_003420.2,NP_001243102.1,NP_001243100.1</t>
  </si>
  <si>
    <t>ENST00000623898,ENST00000625004,ENST00000615882,ENST00000624588,ENST00000624369,ENST00000615320,ENST00000615413,ENST00000623537,ENST00000613159,ENST00000612293</t>
  </si>
  <si>
    <t>ENSP00000485138,ENSP00000485573,ENSP00000479120,ENSP00000485250,ENSP00000485354,ENSP00000483118,ENSP00000485174,ENSP00000485121,ENSP00000479316,ENSP00000478096</t>
  </si>
  <si>
    <t>ENST00000338858,ENST00000465523,ENST00000370103,ENST00000462354,ENST00000468901,ENST00000536598</t>
  </si>
  <si>
    <t>ENSP00000345192,ENSP00000359121,ENSP00000443471</t>
  </si>
  <si>
    <t>Homo sapiens splicing factor 3a, subunit 3, 60kDa (SF3A3)</t>
  </si>
  <si>
    <t>ENST00000373019,ENST00000487062,ENST00000460925,ENST00000489537,ENST00000461869,ENST00000470585,ENST00000488934,ENST00000462258</t>
  </si>
  <si>
    <t>Homo sapiens H2A histone family, member X (H2AFX)</t>
  </si>
  <si>
    <t>ENST00000530167,ENST00000375167</t>
  </si>
  <si>
    <t>ENSP00000434024,ENSP00000364310</t>
  </si>
  <si>
    <t>ENST00000241014,ENST00000395629,ENST00000497090</t>
  </si>
  <si>
    <t>ENSP00000241014,ENSP00000378991</t>
  </si>
  <si>
    <t>ENST00000334181,ENST00000415248,ENST00000597296,ENST00000600697</t>
  </si>
  <si>
    <t>ENSP00000333980,ENSP00000397745</t>
  </si>
  <si>
    <t>Homo sapiens solute carrier family 25, member 53 (SLC25A53)</t>
  </si>
  <si>
    <t>ENST00000594199,ENST00000467290</t>
  </si>
  <si>
    <t>ENST00000393409,ENST00000503234,ENST00000503363,ENST00000505278</t>
  </si>
  <si>
    <t>NM_001003675,NM_001003674</t>
  </si>
  <si>
    <t>NP_001003675.1,NP_001003674.1</t>
  </si>
  <si>
    <t>ENST00000590371,ENST00000587905,ENST00000590115,ENST00000399848,ENST00000359446,ENST00000586222,ENST00000593236,ENST00000587600,ENST00000586207,ENST00000587440,ENST00000592657,ENST00000587757,ENST00000585931,ENST00000590308,ENST00000586765,ENST00000592812,ENST00000361303,ENST00000435606,ENST00000592991</t>
  </si>
  <si>
    <t>ENSP00000465244,ENSP00000382741,ENSP00000352420,ENSP00000465573,ENSP00000466490,ENSP00000466178,ENSP00000466772,ENSP00000474783,ENSP00000466771</t>
  </si>
  <si>
    <t>ENST00000267935,ENST00000567195,ENST00000566843,ENST00000564815,ENST00000562610,ENST00000338995,ENST00000567023,ENST00000567720,ENST00000566230,ENST00000564587,ENST00000565517,ENST00000564068,ENST00000480484,ENST00000567399,ENST00000561662,ENST00000568034,ENST00000567377,ENST00000562789,ENST00000568301,ENST00000568877,ENST00000565834,ENST00000563220,ENST00000569245,ENST00000562310,ENST00000567935</t>
  </si>
  <si>
    <t>ENST00000491614,ENST00000378937,ENST00000378952,ENST00000476462,ENST00000378940,ENST00000378927,ENST00000498825,ENST00000444732,ENST00000537776</t>
  </si>
  <si>
    <t>ENSP00000419628,ENSP00000368219,ENSP00000436844,ENSP00000368222,ENSP00000368209,ENSP00000407856,ENSP00000445116</t>
  </si>
  <si>
    <t>Homo sapiens keratin 20, type I (KRT20)</t>
  </si>
  <si>
    <t>ENST00000167588,ENST00000482529</t>
  </si>
  <si>
    <t>Homo sapiens splicing factor 3a, subunit 2, 66kDa (SF3A2)</t>
  </si>
  <si>
    <t>ENST00000221494,ENST00000589118,ENST00000592839,ENST00000592314,ENST00000586396,ENST00000590034,ENST00000587637</t>
  </si>
  <si>
    <t>ENSP00000221494,ENSP00000466634</t>
  </si>
  <si>
    <t>ENST00000525670,ENST00000354193,ENST00000533774,ENST00000530199,ENST00000529848</t>
  </si>
  <si>
    <t>Homo sapiens myosin, light chain 10, regulatory (MYL10)</t>
  </si>
  <si>
    <t>ENST00000361256,ENST00000467582,ENST00000480366,ENST00000466556,ENST00000467396,ENST00000622809</t>
  </si>
  <si>
    <t>ENSP00000354812,ENSP00000473640,ENSP00000481659</t>
  </si>
  <si>
    <t>Homo sapiens zinc finger, CCHC domain containing 12 (ZCCHC12)</t>
  </si>
  <si>
    <t>ENST00000590071,ENST00000585928</t>
  </si>
  <si>
    <t>ENSP00000466953,ENSP00000465683</t>
  </si>
  <si>
    <t>Homo sapiens histone cluster 1, H4h (HIST1H4H)</t>
  </si>
  <si>
    <t>Homo sapiens histone cluster 3, H2bb (HIST3H2BB)</t>
  </si>
  <si>
    <t>ENST00000540871,ENST00000554541,ENST00000261479,ENST00000554843,ENST00000554620,ENST00000554961,ENST00000556167,ENST00000553809,ENST00000553688,ENST00000555764,ENST00000556506,ENST00000555050,ENST00000556221,ENST00000554457,ENST00000622405,ENST00000627895,ENST00000628955</t>
  </si>
  <si>
    <t>ENSP00000444844,ENSP00000451958,ENSP00000261479,ENSP00000451432,ENSP00000451254,ENSP00000452603,ENSP00000450844,ENSP00000452566,ENSP00000450528,ENSP00000451171,ENSP00000479620,ENSP00000485817,ENSP00000485776</t>
  </si>
  <si>
    <t>ENST00000596161,ENST00000595358,ENST00000594672,ENST00000596687,ENST00000599044,ENST00000594087,ENST00000601763,ENST00000536603</t>
  </si>
  <si>
    <t>ENSP00000471454,ENSP00000469909,ENSP00000469524,ENSP00000469466,ENSP00000444279</t>
  </si>
  <si>
    <t>ENST00000598742,ENST00000598466,ENST00000601492,ENST00000600467,ENST00000221975,ENST00000593863,ENST00000598261,ENST00000598399</t>
  </si>
  <si>
    <t>ENSP00000470972,ENSP00000471621,ENSP00000469228,ENSP00000221975,ENSP00000470004,ENSP00000469798,ENSP00000472660</t>
  </si>
  <si>
    <t>Homo sapiens FK506 binding protein 8, 38kDa (FKBP8)</t>
  </si>
  <si>
    <t>ENST00000597960,ENST00000544835,ENST00000596558,ENST00000222308,ENST00000608443,ENST00000601844,ENST00000596015,ENST00000606531,ENST00000596494,ENST00000597611,ENST00000599540,ENST00000594844,ENST00000597547,ENST00000609656</t>
  </si>
  <si>
    <t>ENSP00000471700,ENSP00000441267,ENSP00000472302,ENSP00000222308,ENSP00000476767,ENSP00000472921,ENSP00000475588,ENSP00000475895,ENSP00000472643,ENSP00000472731,ENSP00000472087,ENSP00000472043,ENSP00000477278</t>
  </si>
  <si>
    <t>ENST00000264552,ENST00000587845,ENST00000589978,ENST00000592570</t>
  </si>
  <si>
    <t>ENSP00000264552,ENSP00000467409,ENSP00000466388</t>
  </si>
  <si>
    <t>ENST00000232975,ENST00000496590,ENST00000461086</t>
  </si>
  <si>
    <t>ENSP00000232975,ENSP00000420596</t>
  </si>
  <si>
    <t>Homo sapiens sepiapterin reductase (7,8-dihydrobiopterin:NADP+ oxidoreductase)</t>
  </si>
  <si>
    <t>ENST00000234454,ENST00000498749</t>
  </si>
  <si>
    <t>Homo sapiens elongation factor, RNA polymerase II, 2 (ELL2)</t>
  </si>
  <si>
    <t>ENST00000237853,ENST00000508757,ENST00000513343,ENST00000505584,ENST00000506628,ENST00000508694,ENST00000515020</t>
  </si>
  <si>
    <t>ENSP00000237853,ENSP00000420894,ENSP00000423915</t>
  </si>
  <si>
    <t>ENST00000482771,ENST00000373463,ENST00000329151,ENST00000474144,ENST00000475208,ENST00000463914</t>
  </si>
  <si>
    <t>ENSP00000362562,ENSP00000328630</t>
  </si>
  <si>
    <t>PREDICTED: Homo sapiens pleckstrin homology domain containing, family G (with RhoGef domain)</t>
  </si>
  <si>
    <t>XM_011536629,XM_011536628,XM_011536627,XM_011536626,XM_011536625,XM_011536624,NM_001308147</t>
  </si>
  <si>
    <t>XP_011534931.1,XP_011534930.1,XP_011534929.1,XP_011534928.1,XP_011534927.1,XP_011534926.1,NP_001295076.1</t>
  </si>
  <si>
    <t>ENST00000555982,ENST00000247226,ENST00000394691,ENST00000554088,ENST00000554499,ENST00000556801,ENST00000490180,ENST00000471182,ENST00000484731,ENST00000492928</t>
  </si>
  <si>
    <t>ENSP00000450501,ENSP00000247226,ENSP00000378183,ENSP00000450880,ENSP00000451256,ENSP00000450945,ENSP00000450973</t>
  </si>
  <si>
    <t>ENST00000257245,ENST00000525587,ENST00000525158</t>
  </si>
  <si>
    <t>ENSP00000257245,ENSP00000435678,ENSP00000433627</t>
  </si>
  <si>
    <t>ENST00000258083,ENST00000480093,ENST00000470391</t>
  </si>
  <si>
    <t>ENST00000267884,ENST00000558527,ENST00000558720,ENST00000560773,ENST00000559439,ENST00000559475,ENST00000559081,ENST00000558243</t>
  </si>
  <si>
    <t>ENSP00000267884,ENSP00000453361,ENSP00000452756,ENSP00000453120</t>
  </si>
  <si>
    <t>ENST00000376836,ENST00000602574,ENST00000468179,ENST00000479958,ENST00000470045,ENST00000456711,ENST00000444869,ENST00000472610,ENST00000496071,ENST00000463688,ENST00000448361,ENST00000468469,ENST00000472673,ENST00000483684,ENST00000471350</t>
  </si>
  <si>
    <t>ENSP00000366032,ENSP00000394580,ENSP00000408982,ENSP00000473433,ENSP00000391237,ENSP00000473624</t>
  </si>
  <si>
    <t>ENST00000529639,ENST00000531743,ENST00000525297,ENST00000527548,ENST00000531357,ENST00000279259,ENST00000529259,ENST00000526555,ENST00000434372</t>
  </si>
  <si>
    <t>ENSP00000435370,ENSP00000431822,ENSP00000436110,ENSP00000434440,ENSP00000279259,ENSP00000434680,ENSP00000433139,ENSP00000413848</t>
  </si>
  <si>
    <t>ENST00000602758,ENST00000602719,ENST00000602583,ENST00000602675,ENST00000284245,ENST00000602914,ENST00000602766</t>
  </si>
  <si>
    <t>ENSP00000473398,ENSP00000473536,ENSP00000473306,ENSP00000284245,ENSP00000473676,ENSP00000473366</t>
  </si>
  <si>
    <t>Homo sapiens basic leucine zipper transcription factor, ATF-like (BATF)</t>
  </si>
  <si>
    <t>ENST00000286639,ENST00000555795,ENST00000555504</t>
  </si>
  <si>
    <t>ENSP00000286639,ENSP00000450486</t>
  </si>
  <si>
    <t>ENST00000286918,ENST00000559651,ENST00000560748,ENST00000559404,ENST00000557902</t>
  </si>
  <si>
    <t>ENSP00000286918,ENSP00000454100,ENSP00000453650,ENSP00000453417,ENSP00000454080</t>
  </si>
  <si>
    <t>ENST00000292609,ENST00000340880,ENST00000601792,ENST00000594637</t>
  </si>
  <si>
    <t>ENSP00000292609,ENSP00000345968,ENSP00000472856,ENSP00000470112</t>
  </si>
  <si>
    <t>Homo sapiens ribonuclease, RNase A family, 7 (RNASE7)</t>
  </si>
  <si>
    <t>ENST00000298690,ENST00000481538</t>
  </si>
  <si>
    <t>ENSP00000298690,ENSP00000431382</t>
  </si>
  <si>
    <t>Homo sapiens olfactory receptor, family 4, subfamily D, member 6 (OR4D6)</t>
  </si>
  <si>
    <t>ENST00000305885,ENST00000535723,ENST00000535307</t>
  </si>
  <si>
    <t>ENSP00000305480,ENSP00000445692,ENSP00000460402</t>
  </si>
  <si>
    <t>Homo sapiens olfactory receptor, family 10, subfamily G, member 3 (OR10G3)</t>
  </si>
  <si>
    <t>Homo sapiens olfactory receptor, family 9, subfamily K, member 2 (OR9K2)</t>
  </si>
  <si>
    <t>Homo sapiens zinc finger, DHHC-type containing 24 (ZDHHC24)</t>
  </si>
  <si>
    <t>ENST00000534073,ENST00000526986,ENST00000310442,ENST00000525925</t>
  </si>
  <si>
    <t>ENSP00000436503,ENSP00000431321,ENSP00000309429</t>
  </si>
  <si>
    <t>ENST00000598935,ENST00000311069</t>
  </si>
  <si>
    <t>ENSP00000472761,ENSP00000310585</t>
  </si>
  <si>
    <t>Homo sapiens olfactory receptor, family 5, subfamily R, member 1 (gene/pseudogene)</t>
  </si>
  <si>
    <t>Homo sapiens olfactory receptor, family 4, subfamily S, member 2 (OR4S2)</t>
  </si>
  <si>
    <t>ENST00000532135,ENST00000526819,ENST00000368821</t>
  </si>
  <si>
    <t>ENSP00000431764,ENSP00000434299,ENSP00000357811</t>
  </si>
  <si>
    <t>Homo sapiens olfactory receptor, family 10, subfamily P, member 1 (OR10P1)</t>
  </si>
  <si>
    <t>ENST00000487479,ENST00000494676</t>
  </si>
  <si>
    <t>Homo sapiens olfactory receptor, family 2, subfamily G, member 2 (OR2G2)</t>
  </si>
  <si>
    <t>ENST00000314586,ENST00000545725,ENST00000564324,ENST00000563889,ENST00000563536,ENST00000562887,ENST00000564418</t>
  </si>
  <si>
    <t>ENSP00000325674,ENSP00000439910,ENSP00000456435,ENSP00000455223,ENSP00000457182</t>
  </si>
  <si>
    <t>Homo sapiens Cbp/p300-interacting transactivator, with Glu/Asp-rich carboxy-terminal domain, 4 (CITED4)</t>
  </si>
  <si>
    <t>ENST00000553514,ENST00000329559,ENST00000605997,ENST00000553666,ENST00000555441,ENST00000556555,ENST00000617122</t>
  </si>
  <si>
    <t>ENSP00000451090,ENSP00000330787,ENSP00000475170,ENSP00000450776,ENSP00000483888</t>
  </si>
  <si>
    <t>ENST00000550912,ENST00000392568,ENST00000551024,ENST00000550002,ENST00000339418,ENST00000546553</t>
  </si>
  <si>
    <t>ENSP00000376349,ENSP00000447933</t>
  </si>
  <si>
    <t>ENST00000564831,ENST00000431282</t>
  </si>
  <si>
    <t>ENSP00000457539,ENSP00000416094</t>
  </si>
  <si>
    <t>ENST00000591727,ENST00000591161,ENST00000339133,ENST00000397555</t>
  </si>
  <si>
    <t>ENSP00000341992,ENSP00000380687</t>
  </si>
  <si>
    <t>Homo sapiens histone cluster 1, H2ai (HIST1H2AI)</t>
  </si>
  <si>
    <t>Homo sapiens histone cluster 1, H3a (HIST1H3A)</t>
  </si>
  <si>
    <t>Homo sapiens histone cluster 1, H2al (HIST1H2AL)</t>
  </si>
  <si>
    <t>ENST00000368326,ENST00000368325,ENST00000368328</t>
  </si>
  <si>
    <t>ENSP00000357309,ENSP00000357308,ENSP00000357311</t>
  </si>
  <si>
    <t>ENST00000369689,ENST00000369687</t>
  </si>
  <si>
    <t>ENSP00000358703,ENSP00000358701</t>
  </si>
  <si>
    <t>ENST00000374741,ENST00000575963,ENST00000573786,ENST00000571503,ENST00000571757,ENST00000575992,ENST00000571092</t>
  </si>
  <si>
    <t>ENSP00000363873,ENSP00000466256,ENSP00000459191,ENSP00000459374,ENSP00000459281</t>
  </si>
  <si>
    <t>ENST00000378644,ENST00000568925,ENST00000563157</t>
  </si>
  <si>
    <t>ENSP00000367911,ENSP00000454349</t>
  </si>
  <si>
    <t>ENST00000557540,ENST00000555711,ENST00000556885,ENST00000554266,ENST00000556351,ENST00000556927,ENST00000555151,ENST00000556402,ENST00000553788,ENST00000556198,ENST00000381356</t>
  </si>
  <si>
    <t>ENSP00000450584,ENSP00000451008,ENSP00000451494,ENSP00000451550,ENSP00000452146,ENSP00000450443,ENSP00000452580,ENSP00000451938,ENSP00000452130,ENSP00000370761</t>
  </si>
  <si>
    <t>ENST00000581347,ENST00000383490</t>
  </si>
  <si>
    <t>ENSP00000463375,ENSP00000372982</t>
  </si>
  <si>
    <t>ENST00000491186,ENST00000465757,ENST00000426563,ENST00000325318,ENST00000446494</t>
  </si>
  <si>
    <t>ENSP00000415835,ENSP00000324323,ENSP00000410605</t>
  </si>
  <si>
    <t>Homo sapiens microseminoprotein, prostate associated (MSMP)</t>
  </si>
  <si>
    <t>ENST00000436428,ENST00000414286</t>
  </si>
  <si>
    <t>Homo sapiens ribonuclease, RNase K (RNASEK)|Homo sapiens RNASEK-C17orf49 readthrough (RNASEK-C17orf49)</t>
  </si>
  <si>
    <t>NM_001004333,NR_037716,NR_037715|NR_037717</t>
  </si>
  <si>
    <t>NP_001004333.2,-,-|-</t>
  </si>
  <si>
    <t>ENST00000548577,ENST00000546395,ENST00000593646,ENST00000570898,ENST00000552039,ENST00000552842,ENST00000552176,ENST00000575822,ENST00000549393,ENST00000552321,ENST00000402093</t>
  </si>
  <si>
    <t>ENSP00000449500,ENSP00000447072,ENSP00000468923,ENSP00000459471,ENSP00000447359,ENSP00000449670,ENSP00000450174,ENSP00000450182,ENSP00000385440</t>
  </si>
  <si>
    <t>ENST00000431388,ENST00000577158,ENST00000573090,ENST00000576002,ENST00000575067,ENST00000573173</t>
  </si>
  <si>
    <t>ENSP00000400184,ENSP00000461155</t>
  </si>
  <si>
    <t>Homo sapiens phospholipid scramblase family, member 5 (PLSCR5)</t>
  </si>
  <si>
    <t>ENST00000492200,ENST00000482567,ENST00000443512</t>
  </si>
  <si>
    <t>ENSP00000417184,ENSP00000418626,ENSP00000390111</t>
  </si>
  <si>
    <t>ENST00000288710,ENST00000421869,ENST00000487307,ENST00000497651,ENST00000442810,ENST00000483675,ENST00000439066</t>
  </si>
  <si>
    <t>ENSP00000288710,ENSP00000414375</t>
  </si>
  <si>
    <t>Homo sapiens purinergic receptor P2Y, G-protein coupled, 1 (P2RY1)</t>
  </si>
  <si>
    <t>ENST00000463528,ENST00000412985,ENST00000331075,ENST00000461241,ENST00000420017,ENST00000400294,ENST00000405300,ENST00000404390,ENST00000402238,ENST00000404453,ENST00000401755,ENST00000620191,ENST00000412277</t>
  </si>
  <si>
    <t>ENSP00000401124,ENSP00000333262,ENSP00000406570,ENSP00000383150,ENSP00000384596,ENSP00000384534,ENSP00000385264,ENSP00000385343,ENSP00000384540,ENSP00000479645,ENSP00000392924</t>
  </si>
  <si>
    <t>ENST00000406310,ENST00000000442,ENST00000539594,ENST00000405666,ENST00000468670,ENST00000467987,ENST00000545035</t>
  </si>
  <si>
    <t>ENSP00000385971,ENSP00000000442,ENSP00000439896,ENSP00000384851,ENSP00000441970,ENSP00000444710</t>
  </si>
  <si>
    <t>ENST00000370179,ENST00000464438,ENST00000370177,ENST00000473620</t>
  </si>
  <si>
    <t>ENSP00000359198,ENSP00000359196</t>
  </si>
  <si>
    <t>ENST00000400518,ENST00000494454,ENST00000474308,ENST00000542719,ENST00000462330,ENST00000487165,ENST00000400521,ENST00000400525,ENST00000495655,ENST00000400519,ENST00000485358,ENST00000462843,ENST00000491939,ENST00000475995,ENST00000484672,ENST00000471835,ENST00000496729,ENST00000334363</t>
  </si>
  <si>
    <t>ENSP00000383362,ENSP00000485665,ENSP00000485128,ENSP00000485603,ENSP00000383365,ENSP00000383369,ENSP00000383363,ENSP00000485499,ENSP00000485466,ENSP00000485543,ENSP00000485290,ENSP00000334451</t>
  </si>
  <si>
    <t>ENST00000546283,ENST00000233627,ENST00000545446,ENST00000543289,ENST00000538662,ENST00000539480,ENST00000436115,ENST00000313408,ENST00000534853,ENST00000546172,ENST00000414651,ENST00000538929,ENST00000622587,ENST00000538523,ENST00000540530,ENST00000535382,ENST00000539882,ENST00000591358,ENST00000620479,ENST00000618074</t>
  </si>
  <si>
    <t>ENSP00000440348,ENSP00000233627,ENSP00000443273,ENSP00000364262,ENSP00000442822,ENSP00000467094,ENSP00000406630,ENSP00000480984,ENSP00000477895</t>
  </si>
  <si>
    <t>ENST00000374078,ENST00000374077,ENST00000374072,ENST00000397416,ENST00000336695</t>
  </si>
  <si>
    <t>ENSP00000363191,ENSP00000363190,ENSP00000363185,ENSP00000380561,ENSP00000338293</t>
  </si>
  <si>
    <t>ENST00000359315,ENST00000588278</t>
  </si>
  <si>
    <t>ENST00000416431,ENST00000372569,ENST00000451294,ENST00000477866,ENST00000274990,ENST00000487744,ENST00000485819</t>
  </si>
  <si>
    <t>ENSP00000414553,ENSP00000361650,ENSP00000397775,ENSP00000274990</t>
  </si>
  <si>
    <t>ENST00000367601,ENST00000447498,ENST00000357847,ENST00000629020,ENST00000367596,ENST00000494282,ENST00000275235,ENST00000458219,ENST00000470265,ENST00000344492</t>
  </si>
  <si>
    <t>ENSP00000356573,ENSP00000405048,ENSP00000350509,ENSP00000485875,ENSP00000356568,ENSP00000473952,ENSP00000275235,ENSP00000407817,ENSP00000340090</t>
  </si>
  <si>
    <t>NM_001191003,NM_001191002,NM_004832</t>
  </si>
  <si>
    <t>NP_001177932.1,NP_001177931.1,NP_004823.1</t>
  </si>
  <si>
    <t>ENST00000470554,ENST00000493946,ENST00000369713,ENST00000445155,ENST00000432659,ENST00000539281,ENST00000369710</t>
  </si>
  <si>
    <t>ENSP00000358727,ENSP00000406708,ENSP00000405325,ENSP00000441488,ENSP00000358724</t>
  </si>
  <si>
    <t>ENST00000464651,ENST00000299166,ENST00000370322,ENST00000370320,ENST00000528425,ENST00000466088,ENST00000529437,ENST00000531418,ENST00000531189</t>
  </si>
  <si>
    <t>ENSP00000299166,ENSP00000359346,ENSP00000359344,ENSP00000434072</t>
  </si>
  <si>
    <t>NM_018337,NM_001253792</t>
  </si>
  <si>
    <t>NP_060807.2,NP_001240721.1</t>
  </si>
  <si>
    <t>ENST00000587467,ENST00000588358,ENST00000337080,ENST00000587195,ENST00000586123,ENST00000587664,ENST00000592949,ENST00000593100,ENST00000588203,ENST00000591564,ENST00000587236,ENST00000592171</t>
  </si>
  <si>
    <t>ENSP00000465171,ENSP00000466287,ENSP00000338860,ENSP00000466666,ENSP00000468069,ENSP00000465070,ENSP00000465466,ENSP00000468762</t>
  </si>
  <si>
    <t>ENST00000380377,ENST00000518218,ENST00000517679,ENST00000306388,ENST00000520361,ENST00000517881,ENST00000518338,ENST00000522370,ENST00000520039</t>
  </si>
  <si>
    <t>ENSP00000369736,ENSP00000429083,ENSP00000306362,ENSP00000429288,ENSP00000429793,ENSP00000429313,ENSP00000429046</t>
  </si>
  <si>
    <t>ENST00000304979,ENST00000372550,ENST00000440068,ENST00000372549,ENST00000436387,ENST00000461351</t>
  </si>
  <si>
    <t>ENSP00000306614,ENSP00000361630,ENSP00000402836,ENSP00000361629,ENSP00000405493,ENSP00000436091</t>
  </si>
  <si>
    <t>ENST00000631591,ENST00000633279</t>
  </si>
  <si>
    <t>ENSP00000488630,ENSP00000488348</t>
  </si>
  <si>
    <t>Homo sapiens family with sequence similarity 183, member A (FAM183A)</t>
  </si>
  <si>
    <t>ENST00000410048,ENST00000409337,ENST00000410025,ENST00000409396,ENST00000335282,ENST00000481753</t>
  </si>
  <si>
    <t>ENSP00000387249,ENSP00000387018,ENSP00000387254,ENSP00000334415</t>
  </si>
  <si>
    <t>ENST00000411948,ENST00000366528,ENST00000391839,ENST00000498262,ENST00000464757</t>
  </si>
  <si>
    <t>ENSP00000406327,ENSP00000355486</t>
  </si>
  <si>
    <t>Homo sapiens nuclear receptor subfamily 1, group H, member 3 (NR1H3)</t>
  </si>
  <si>
    <t>NM_001251935,NM_001251934,NM_001130102,NM_001130101,NM_005693</t>
  </si>
  <si>
    <t>NP_001238864.1,NP_001238863.1,NP_001123574.1,NP_001123573.1,NP_005684.2</t>
  </si>
  <si>
    <t>ENST00000495866,ENST00000527464,ENST00000529540,ENST00000395397,ENST00000405576,ENST00000481020,ENST00000481889,ENST00000436778,ENST00000487913,ENST00000531660,ENST00000532630,ENST00000407404,ENST00000444396,ENST00000457932,ENST00000412937,ENST00000449369,ENST00000486991,ENST00000419652,ENST00000461778,ENST00000441012,ENST00000437276,ENST00000525441,ENST00000436029,ENST00000467728,ENST00000420369,ENST00000405853,ENST00000476086,ENST00000530310,ENST00000498548,ENST00000473222,ENST00000483882,ENST00000527949,ENST00000462051,ENST00000494018,ENST00000616973</t>
  </si>
  <si>
    <t>ENSP00000378793,ENSP00000385073,ENSP00000433271,ENSP00000403798,ENSP00000434650,ENSP00000385801,ENSP00000391005,ENSP00000413095,ENSP00000412636,ENSP00000415591,ENSP00000407716,ENSP00000387946,ENSP00000396132,ENSP00000403696,ENSP00000420656,ENSP00000406692,ENSP00000384745,ENSP00000432073,ENSP00000477707</t>
  </si>
  <si>
    <t>Homo sapiens myosin, heavy chain 2, skeletal muscle, adult (MYH2)</t>
  </si>
  <si>
    <t>NM_001100112,NM_017534</t>
  </si>
  <si>
    <t>NP_001093582.1,NP_060004.3</t>
  </si>
  <si>
    <t>ENST00000532183,ENST00000245503,ENST00000578017,ENST00000420805,ENST00000397183,ENST00000622564</t>
  </si>
  <si>
    <t>ENSP00000433944,ENSP00000245503,ENSP00000463668,ENSP00000399348,ENSP00000380367,ENSP00000482463</t>
  </si>
  <si>
    <t>Homo sapiens neural precursor cell expressed, developmentally down-regulated 8 (NEDD8)</t>
  </si>
  <si>
    <t>ENST00000250495,ENST00000396828,ENST00000527046,ENST00000531430,ENST00000560427,ENST00000526430,ENST00000524927,ENST00000533242</t>
  </si>
  <si>
    <t>ENSP00000250495,ENSP00000380040,ENSP00000448192</t>
  </si>
  <si>
    <t>Homo sapiens small nucleolar RNA, H/ACA box 4 (SNORA4)</t>
  </si>
  <si>
    <t>NR_036684,NM_003869,NM_198061</t>
  </si>
  <si>
    <t>-,NP_003860.2,NP_932327.1</t>
  </si>
  <si>
    <t>ENST00000417689,ENST00000561697,ENST00000317091,ENST00000568470,ENST00000566182,ENST00000570032,ENST00000566359,ENST00000561843,ENST00000564420,ENST00000567128,ENST00000568347,ENST00000563988</t>
  </si>
  <si>
    <t>ENSP00000394452,ENSP00000463641,ENSP00000317842,ENSP00000456167,ENSP00000463166,ENSP00000457721,ENSP00000464620</t>
  </si>
  <si>
    <t>NM_001098202,NM_006497</t>
  </si>
  <si>
    <t>NP_001091672.1,NP_006488.2</t>
  </si>
  <si>
    <t>ENST00000574370,ENST00000571875,ENST00000571990,ENST00000619757,ENST00000576444,ENST00000322941,ENST00000399849</t>
  </si>
  <si>
    <t>ENSP00000461476,ENSP00000476554,ENSP00000460268,ENSP00000477858,ENSP00000467045,ENSP00000314080,ENSP00000382742</t>
  </si>
  <si>
    <t>Homo sapiens pyruvate kinase, muscle (PKM)</t>
  </si>
  <si>
    <t>NM_002654,NM_001206799,NM_001206798,NM_001206797,NM_001206796,NM_182471,NM_182470</t>
  </si>
  <si>
    <t>NP_002645.3,NP_001193728.1,NP_001193727.1,NP_001193726.1,NP_001193725.1,NP_872271.1,NP_872270.1</t>
  </si>
  <si>
    <t>ENST00000564440,ENST00000565184,ENST00000335181,ENST00000565143,ENST00000567118,ENST00000565154,ENST00000568459,ENST00000561609,ENST00000563986,ENST00000569857,ENST00000570166,ENST00000564993,ENST00000563275,ENST00000568743,ENST00000562784,ENST00000564178,ENST00000562997,ENST00000567087,ENST00000564276,ENST00000566809,ENST00000569050,ENST00000449901,ENST00000319622,ENST00000389093,ENST00000568883</t>
  </si>
  <si>
    <t>ENSP00000455736,ENSP00000334983,ENSP00000456004,ENSP00000455901,ENSP00000456970,ENSP00000457253,ENSP00000455584,ENSP00000457198,ENSP00000457830,ENSP00000456984,ENSP00000457420,ENSP00000454668,ENSP00000403365,ENSP00000320171,ENSP00000373745,ENSP00000456100</t>
  </si>
  <si>
    <t>NM_001031735,NM_001039846</t>
  </si>
  <si>
    <t>NP_001026905.2,NP_001034935.1</t>
  </si>
  <si>
    <t>ENST00000481489,ENST00000497445,ENST00000478879,ENST00000395301,ENST00000395307,ENST00000498554,ENST00000590985,ENST00000620263,ENST00000395296,ENST00000591894,ENST00000588003,ENST00000610800,ENST00000593185</t>
  </si>
  <si>
    <t>ENSP00000378712,ENSP00000378718,ENSP00000484309,ENSP00000378709,ENSP00000481223,ENSP00000484639,ENSP00000483922</t>
  </si>
  <si>
    <t>NM_001110215,NM_001002876,NM_024053</t>
  </si>
  <si>
    <t>NP_001103685.1,NP_001002876.1,NP_076958.1</t>
  </si>
  <si>
    <t>ENST00000215980,ENST00000472374,ENST00000404067,ENST00000402338,ENST00000407253,ENST00000402420,ENST00000396437,ENST00000460824</t>
  </si>
  <si>
    <t>ENSP00000215980,ENSP00000430624,ENSP00000384814,ENSP00000384731,ENSP00000384743,ENSP00000384132</t>
  </si>
  <si>
    <t>Homo sapiens small nucleolar RNA, C/D box 43 (SNORD43)</t>
  </si>
  <si>
    <t>Homo sapiens acylphosphatase 1, erythrocyte (common)</t>
  </si>
  <si>
    <t>ENST00000238618,ENST00000555463,ENST00000357971,ENST00000555694,ENST00000555135,ENST00000553302</t>
  </si>
  <si>
    <t>ENSP00000238618,ENSP00000450873,ENSP00000350655,ENSP00000451581,ENSP00000452249,ENSP00000451220</t>
  </si>
  <si>
    <t>NM_145897,NM_002624</t>
  </si>
  <si>
    <t>NP_665904.1,NP_002615.2</t>
  </si>
  <si>
    <t>ENST00000551018,ENST00000550880,ENST00000351500,ENST00000550069,ENST00000550846,ENST00000551223,ENST00000552341,ENST00000547130,ENST00000243040,ENST00000549995,ENST00000334478,ENST00000552742,ENST00000550513,ENST00000547228,ENST00000549759,ENST00000552548,ENST00000550964,ENST00000548984,ENST00000553171,ENST00000628881</t>
  </si>
  <si>
    <t>ENSP00000447942,ENSP00000450068,ENSP00000266964,ENSP00000454489,ENSP00000449388,ENSP00000243040,ENSP00000334188,ENSP00000450380,ENSP00000455296,ENSP00000486843</t>
  </si>
  <si>
    <t>Homo sapiens Cbp/p300-interacting transactivator, with Glu/Asp-rich carboxy-terminal domain, 1 (CITED1)</t>
  </si>
  <si>
    <t>NM_001144887,NM_001144886,NM_001144885,NM_004143</t>
  </si>
  <si>
    <t>NP_001138359.1,NP_001138358.1,NP_001138357.1,NP_004134.2</t>
  </si>
  <si>
    <t>ENST00000453707,ENST00000373619,ENST00000429794,ENST00000246139,ENST00000417400,ENST00000427412,ENST00000450875,ENST00000454225,ENST00000431381,ENST00000445983</t>
  </si>
  <si>
    <t>ENSP00000401764,ENSP00000362721,ENSP00000407496,ENSP00000246139,ENSP00000414781,ENSP00000391407,ENSP00000405765,ENSP00000412769,ENSP00000388548,ENSP00000403274</t>
  </si>
  <si>
    <t>ENST00000469019,ENST00000259241,ENST00000463963,ENST00000494089</t>
  </si>
  <si>
    <t>ENST00000402285,ENST00000272317,ENST00000449323,ENST00000404735,ENST00000463185,ENST00000471772,ENST00000478196,ENST00000494756,ENST00000495843,ENST00000468810</t>
  </si>
  <si>
    <t>ENSP00000383981,ENSP00000272317,ENSP00000408482,ENSP00000385659</t>
  </si>
  <si>
    <t>NM_001007074,NM_001007073,NM_000994</t>
  </si>
  <si>
    <t>NP_001007075.1,NP_001007074.1,NP_000985.1</t>
  </si>
  <si>
    <t>ENST00000429711,ENST00000273223,ENST00000435983,ENST00000396953,ENST00000457131,ENST00000452606,ENST00000434963,ENST00000396957</t>
  </si>
  <si>
    <t>ENSP00000416429,ENSP00000339064,ENSP00000388674,ENSP00000380156,ENSP00000412393,ENSP00000413742,ENSP00000380158</t>
  </si>
  <si>
    <t>NM_019056,NM_001135998</t>
  </si>
  <si>
    <t>NP_061929.2,NP_001129470.1</t>
  </si>
  <si>
    <t>ENST00000377811,ENST00000276062</t>
  </si>
  <si>
    <t>ENSP00000367042,ENSP00000276062</t>
  </si>
  <si>
    <t>NM_001001522,NM_003186</t>
  </si>
  <si>
    <t>NP_001001522.1,NP_003177.2</t>
  </si>
  <si>
    <t>ENST00000392951,ENST00000525531,ENST00000278968,ENST00000529792,ENST00000533863,ENST00000530649,ENST00000532870,ENST00000529622</t>
  </si>
  <si>
    <t>ENSP00000376678,ENSP00000432054,ENSP00000278968,ENSP00000431862,ENSP00000431941,ENSP00000432282,ENSP00000432380</t>
  </si>
  <si>
    <t>NM_001098817,NM_194281</t>
  </si>
  <si>
    <t>NP_001092287.1,NP_919257.2</t>
  </si>
  <si>
    <t>ENST00000592173,ENST00000334598,ENST00000590757,ENST00000441607,ENST00000586489,ENST00000587450,ENST00000591139,ENST00000283410,ENST00000586449,ENST00000589273,ENST00000585971,ENST00000589053</t>
  </si>
  <si>
    <t>ENSP00000465273,ENSP00000334473,ENSP00000467708,ENSP00000391457,ENSP00000464948,ENSP00000467013,ENSP00000473165,ENSP00000466269,ENSP00000465637</t>
  </si>
  <si>
    <t>NM_013410,NM_203464,NM_001005353</t>
  </si>
  <si>
    <t>NP_037542.1,NP_982289.1,NP_001005353.1</t>
  </si>
  <si>
    <t>ENST00000497030,ENST00000470888,ENST00000546702,ENST00000327299,ENST00000474968,ENST00000479060,ENST00000545314,ENST00000395334</t>
  </si>
  <si>
    <t>ENSP00000448458,ENSP00000322175,ENSP00000445912,ENSP00000378743</t>
  </si>
  <si>
    <t>ENST00000295955,ENST00000503277,ENST00000449470,ENST00000508595,ENST00000511643,ENST00000506581,ENST00000514842,ENST00000503040,ENST00000504470,ENST00000511075,ENST00000437992</t>
  </si>
  <si>
    <t>ENSP00000346022,ENSP00000400467,ENSP00000425250,ENSP00000424796,ENSP00000421872,ENSP00000422191</t>
  </si>
  <si>
    <t>ENST00000340533,ENST00000580678,ENST00000299438,ENST00000494131,ENST00000583418,ENST00000397914,ENST00000579064</t>
  </si>
  <si>
    <t>ENSP00000341625,ENSP00000299438,ENSP00000436461,ENSP00000381011</t>
  </si>
  <si>
    <t>Homo sapiens processing of precursor 5, ribonuclease P/MRP subunit (S. cerevisiae)</t>
  </si>
  <si>
    <t>NM_198202,NM_015918</t>
  </si>
  <si>
    <t>NP_937845.1,NP_057002.2</t>
  </si>
  <si>
    <t>ENST00000341039,ENST00000357500,ENST00000542568,ENST00000542776,ENST00000543355,ENST00000541834,ENST00000535245,ENST00000511394,ENST00000539716</t>
  </si>
  <si>
    <t>ENSP00000341791,ENSP00000350098</t>
  </si>
  <si>
    <t>Homo sapiens ATP synthase, H+ transporting, mitochondrial Fo complex, subunit d (ATP5H)</t>
  </si>
  <si>
    <t>NM_001003785,NM_006356</t>
  </si>
  <si>
    <t>NP_001003785.1,NP_006347.1</t>
  </si>
  <si>
    <t>ENST00000580649,ENST00000301587,ENST00000344546,ENST00000538432,ENST00000582341</t>
  </si>
  <si>
    <t>ENSP00000301587,ENSP00000344230,ENSP00000437996</t>
  </si>
  <si>
    <t>ENST00000301599,ENST00000574668</t>
  </si>
  <si>
    <t>ENSP00000301599,ENSP00000459725</t>
  </si>
  <si>
    <t>Homo sapiens ferritin, heavy polypeptide 1 (FTH1)</t>
  </si>
  <si>
    <t>ENST00000529191,ENST00000529631,ENST00000530019,ENST00000273550,ENST00000532829,ENST00000534180,ENST00000526640,ENST00000532601,ENST00000534719,ENST00000533138,ENST00000529548,ENST00000620041</t>
  </si>
  <si>
    <t>ENSP00000431659,ENSP00000431575,ENSP00000433470,ENSP00000273550,ENSP00000432223,ENSP00000434403,ENSP00000433321,ENSP00000435111,ENSP00000436947,ENSP00000484477</t>
  </si>
  <si>
    <t>ENST00000439590,ENST00000311111,ENST00000530646,ENST00000529123,ENST00000584577,ENST00000534490,ENST00000528433,ENST00000533498</t>
  </si>
  <si>
    <t>ENSP00000390279,ENSP00000309830,ENSP00000463312,ENSP00000462837,ENSP00000462580,ENSP00000434243</t>
  </si>
  <si>
    <t>NM_032747,NM_001206426,NM_001206427</t>
  </si>
  <si>
    <t>NP_116136.1,NP_001193355.1,NP_001193356.1</t>
  </si>
  <si>
    <t>NM_001134485,NM_001134484,NM_001001790</t>
  </si>
  <si>
    <t>NP_001127957.1,NP_001127956.1,NP_001001790.1</t>
  </si>
  <si>
    <t>ENST00000540941,ENST00000377773,ENST00000321301,ENST00000401811,ENST00000544379</t>
  </si>
  <si>
    <t>ENSP00000438585,ENSP00000367004,ENSP00000313584,ENSP00000384411,ENSP00000438204</t>
  </si>
  <si>
    <t>NM_001128592,NM_001128591</t>
  </si>
  <si>
    <t>NP_001122064.1,NP_001122063.1</t>
  </si>
  <si>
    <t>ENST00000509933,ENST00000380306,ENST00000416079,ENST00000438998,ENST00000380305,ENST00000419065,ENST00000473000,ENST00000324987,ENST00000451246,ENST00000454610</t>
  </si>
  <si>
    <t>ENSP00000422147,ENSP00000369661,ENSP00000413353,ENSP00000369660,ENSP00000392353,ENSP00000418241,ENSP00000424330,ENSP00000407702,ENSP00000415768</t>
  </si>
  <si>
    <t>NM_001042461,NM_001042462,NM_174894</t>
  </si>
  <si>
    <t>NP_001035926.1,NP_001035927.1,NP_777554.1</t>
  </si>
  <si>
    <t>ENST00000596148,ENST00000317378,ENST00000426877,ENST00000595985</t>
  </si>
  <si>
    <t>ENSP00000470262,ENSP00000316990,ENSP00000399025,ENSP00000470703</t>
  </si>
  <si>
    <t>NM_001077349,NM_033196</t>
  </si>
  <si>
    <t>NP_001070817.1,NP_149973.1</t>
  </si>
  <si>
    <t>ENST00000596019,ENST00000397165,ENST00000594127,ENST00000601365,ENST00000602079,ENST00000358523,ENST00000595736,ENST00000597972,ENST00000601100,ENST00000593468,ENST00000595534,ENST00000599240,ENST00000397162</t>
  </si>
  <si>
    <t>ENSP00000472444,ENSP00000380351,ENSP00000471745,ENSP00000469870,ENSP00000351324,ENSP00000471717,ENSP00000470718,ENSP00000471048,ENSP00000469042,ENSP00000470315,ENSP00000380348</t>
  </si>
  <si>
    <t>ENST00000355848,ENST00000407324,ENST00000410067,ENST00000409302,ENST00000479484,ENST00000485709,ENST00000470189</t>
  </si>
  <si>
    <t>ENSP00000348107,ENSP00000384304,ENSP00000386468,ENSP00000386779</t>
  </si>
  <si>
    <t>NM_000734,NM_198053</t>
  </si>
  <si>
    <t>NP_000725.1,NP_932170.1</t>
  </si>
  <si>
    <t>ENST00000485089,ENST00000483825,ENST00000362089,ENST00000392122,ENST00000476733,ENST00000470379,ENST00000479979</t>
  </si>
  <si>
    <t>ENSP00000354782,ENSP00000375969</t>
  </si>
  <si>
    <t>NM_001002915,NM_001135113</t>
  </si>
  <si>
    <t>NP_001002915.2,NP_001128585.1</t>
  </si>
  <si>
    <t>ENST00000600243,ENST00000434646,ENST00000377693,ENST00000593592,ENST00000601052</t>
  </si>
  <si>
    <t>ENSP00000395219,ENSP00000366922,ENSP00000471085</t>
  </si>
  <si>
    <t>NM_001025235,NM_001025239,NM_001025238,NM_001025237,NM_001025236,NM_001025234,NM_003271</t>
  </si>
  <si>
    <t>NP_001020406.1,NP_001020410.1,NP_001020409.1,NP_001020408.1,NP_001020407.1,NP_001020405.1,NP_003262.1</t>
  </si>
  <si>
    <t>ENST00000397397,ENST00000397411,ENST00000530404,ENST00000525334,ENST00000409543,ENST00000525201,ENST00000526055,ENST00000524895,ENST00000532375,ENST00000346501,ENST00000464987,ENST00000409531,ENST00000527644,ENST00000468468,ENST00000529566,ENST00000494815,ENST00000397406,ENST00000397396,ENST00000397404,ENST00000397408</t>
  </si>
  <si>
    <t>ENSP00000380552,ENSP00000380558,ENSP00000437266,ENSP00000433980,ENSP00000386513,ENSP00000431943,ENSP00000434818,ENSP00000324304,ENSP00000386899,ENSP00000436260,ENSP00000380554,ENSP00000380551,ENSP00000380553,ENSP00000380555</t>
  </si>
  <si>
    <t>NM_024676,NM_001162530</t>
  </si>
  <si>
    <t>NP_078952.4,NP_001156002.1</t>
  </si>
  <si>
    <t>ENST00000373139,ENST00000505871,ENST00000480549,ENST00000496636,ENST00000508854,ENST00000474766,ENST00000453908</t>
  </si>
  <si>
    <t>ENSP00000362232,ENSP00000421294,ENSP00000425484,ENSP00000403476</t>
  </si>
  <si>
    <t>NM_001082967,NM_015381</t>
  </si>
  <si>
    <t>NP_001076436.1,NP_056196.2</t>
  </si>
  <si>
    <t>ENST00000402357,ENST00000336769,ENST00000358295,ENST00000473898,ENST00000406880</t>
  </si>
  <si>
    <t>ENSP00000383933,ENSP00000336812,ENSP00000351043,ENSP00000385603</t>
  </si>
  <si>
    <t>NM_000581,NM_201397</t>
  </si>
  <si>
    <t>NP_000572.2,NP_958799.1</t>
  </si>
  <si>
    <t>ENST00000419783,ENST00000419349,ENST00000496791,ENST00000620890</t>
  </si>
  <si>
    <t>ENSP00000407375,ENSP00000391316,ENSP00000478837</t>
  </si>
  <si>
    <t>ENST00000425202,ENST00000458538,ENST00000490451</t>
  </si>
  <si>
    <t>ENSP00000417035,ENSP00000391035</t>
  </si>
  <si>
    <t>ENST00000415076,ENST00000446330,ENST00000446564,ENST00000438444,ENST00000490251,ENST00000488813,ENST00000395879,ENST00000310564,ENST00000415798,ENST00000431651,ENST00000451651,ENST00000418140,ENST00000459713,ENST00000448704,ENST00000470156,ENST00000457939,ENST00000420441,ENST00000478504,ENST00000223336</t>
  </si>
  <si>
    <t>ENSP00000400759,ENSP00000416406,ENSP00000413777,ENSP00000395586,ENSP00000379218,ENSP00000312100,ENSP00000405582,ENSP00000417046,ENSP00000411540,ENSP00000410365,ENSP00000400271,ENSP00000387433,ENSP00000398886,ENSP00000223336</t>
  </si>
  <si>
    <t>ENST00000371799,ENST00000277415,ENST00000252854,ENST00000371801,ENST00000339720,ENST00000371796,ENST00000539529,ENST00000392991,ENST00000371793,ENST00000539877,ENST00000545657,ENST00000483042,ENST00000615948</t>
  </si>
  <si>
    <t>ENSP00000360864,ENSP00000277415,ENSP00000252854,ENSP00000360866,ENSP00000340318,ENSP00000360861,ENSP00000444296,ENSP00000376717,ENSP00000360858,ENSP00000443806,ENSP00000437906,ENSP00000479508</t>
  </si>
  <si>
    <t>NM_021063,NM_138720</t>
  </si>
  <si>
    <t>NP_066407.1,NP_619790.1</t>
  </si>
  <si>
    <t>ENST00000528125,ENST00000260276,ENST00000530214,ENST00000530799,ENST00000529270</t>
  </si>
  <si>
    <t>ENSP00000433224,ENSP00000260276,ENSP00000435864,ENSP00000432128,ENSP00000431180</t>
  </si>
  <si>
    <t>NM_001204099,NM_001204098,NM_001202509|NM_181270,NM_181271,NM_181283,NM_181296,NM_181269,NM_181272,NM_181268,NM_052999</t>
  </si>
  <si>
    <t>NP_001191028.1,NP_001191027.1,NP_001189438.1|NP_851787.1,NP_851788.1,NP_851800.1,NP_851813.1,NP_851786.1,NP_851789.1,NP_851785.2,NP_443725.3</t>
  </si>
  <si>
    <t>ENST00000527845,ENST00000527729,ENST00000532838,ENST00000529718,ENST00000615332,ENST00000616804|ENST00000332695,ENST00000336328,ENST00000528324,ENST00000529386,ENST00000528484,ENST00000531885,ENST00000533915,ENST00000333001,ENST00000529506,ENST00000533078,ENST00000457188,ENST00000533666,ENST00000533953,ENST00000379500,ENST00000328020,ENST00000465057,ENST00000479381,ENST00000534143,ENST00000530141,ENST00000528441</t>
  </si>
  <si>
    <t>ENSP00000435007,ENSP00000433998,ENSP00000433857,ENSP00000433503,ENSP00000484781,ENSP00000479319|ENSP00000331428,ENSP00000337119,ENSP00000432398,ENSP00000431303,ENSP00000437079,ENSP00000432687,ENSP00000435755,ENSP00000331494,ENSP00000434434,ENSP00000432387,ENSP00000405729,ENSP00000435020,ENSP00000435786,ENSP00000368814,ENSP00000330061,ENSP00000431135,ENSP00000435485,ENSP00000431609,ENSP00000435208,ENSP00000433160</t>
  </si>
  <si>
    <t>NM_001204098|NM_016951,NM_181640,NM_001040138</t>
  </si>
  <si>
    <t>NP_001191027.1|NP_058647.1,NP_857591.1,NP_001035228.1</t>
  </si>
  <si>
    <t>ENST00000527845,ENST00000527729,ENST00000532838,ENST00000529718,ENST00000615332,ENST00000616804|ENST00000534692,ENST00000264001,ENST00000351137,ENST00000345436,ENST00000362093,ENST00000526149,ENST00000417030,ENST00000563092</t>
  </si>
  <si>
    <t>ENSP00000435007,ENSP00000433998,ENSP00000433857,ENSP00000433503,ENSP00000484781,ENSP00000479319|ENSP00000431270,ENSP00000264001,ENSP00000264003,ENSP00000290771,ENSP00000355417,ENSP00000416678</t>
  </si>
  <si>
    <t>NM_001257361,NM_001257360,NM_004037,NM_139156,NM_203404</t>
  </si>
  <si>
    <t>NP_001244290.1,NP_001244289.1,NP_004028.3,NP_631895.1,NP_981949.1</t>
  </si>
  <si>
    <t>ENST00000531734,ENST00000526301,ENST00000342115,ENST00000469039,ENST00000474459,ENST00000528667,ENST00000531203,ENST00000256578,ENST00000358729,ENST00000369840,ENST00000486282,ENST00000528270,ENST00000527846,ENST00000528454,ENST00000459643,ENST00000393688,ENST00000534144,ENST00000525415,ENST00000524975,ENST00000529299,ENST00000532851,ENST00000533132,ENST00000467071,ENST00000479919,ENST00000476688,ENST00000528958</t>
  </si>
  <si>
    <t>ENSP00000433739,ENSP00000345498,ENSP00000436303,ENSP00000432344,ENSP00000436541,ENSP00000431975,ENSP00000256578,ENSP00000351573,ENSP00000358855,ENSP00000434891,ENSP00000431904,ENSP00000437164,ENSP00000377292,ENSP00000437025</t>
  </si>
  <si>
    <t>NR_026912,NM_001145364,NM_148913,NM_148912,NR_026910</t>
  </si>
  <si>
    <t>-,NP_001138836.1,NP_683711.1,NP_683710.1,-</t>
  </si>
  <si>
    <t>NM_001145416,NM_033408,NM_198536</t>
  </si>
  <si>
    <t>NP_001138888.1,NP_212133.1,NP_940938.1</t>
  </si>
  <si>
    <t>ENST00000586218,ENST00000593256,ENST00000354882,ENST00000585722,ENST00000586590,ENST00000586956,ENST00000589555,ENST00000587948,ENST00000588560,ENST00000588321,ENST00000586701,ENST00000592952,ENST00000590482,ENST00000591677,ENST00000590788,ENST00000447337</t>
  </si>
  <si>
    <t>ENSP00000467493,ENSP00000468733,ENSP00000346954,ENSP00000466986,ENSP00000465483,ENSP00000465553,ENSP00000465149,ENSP00000466495,ENSP00000466310,ENSP00000466672,ENSP00000466180,ENSP00000465283,ENSP00000468056,ENSP00000398258</t>
  </si>
  <si>
    <t>ENST00000416426,ENST00000284073,ENST00000581776,ENST00000581523,ENST00000582453,ENST00000322684,ENST00000579590,ENST00000579531,ENST00000584476,ENST00000579483,ENST00000442934,ENST00000579180,ENST00000579205,ENST00000579505,ENST00000582772,ENST00000577241,ENST00000583705,ENST00000583821,ENST00000579466</t>
  </si>
  <si>
    <t>ENSP00000414671,ENSP00000284073,ENSP00000463227,ENSP00000313616,ENSP00000462914,ENSP00000392607,ENSP00000462264</t>
  </si>
  <si>
    <t>NM_012142,NR_045999,NR_045998,NR_027513,NR_027514</t>
  </si>
  <si>
    <t>NP_036274.3,-,-,-,-</t>
  </si>
  <si>
    <t>ENST00000564630,ENST00000300213,ENST00000566515,ENST00000569745,ENST00000563065,ENST00000567434,ENST00000566833,ENST00000568507,ENST00000565296,ENST00000562553,ENST00000567690,ENST00000444658,ENST00000566882,ENST00000568936,ENST00000565958</t>
  </si>
  <si>
    <t>ENSP00000300213,ENSP00000456797,ENSP00000456839,ENSP00000455687,ENSP00000457611,ENSP00000456041,ENSP00000455419,ENSP00000454420</t>
  </si>
  <si>
    <t>Homo sapiens branched chain keto acid dehydrogenase E1, beta polypeptide (BCKDHB)</t>
  </si>
  <si>
    <t>ENST00000369760,ENST00000356489,ENST00000320393,ENST00000486968,ENST00000468520,ENST00000491328</t>
  </si>
  <si>
    <t>ENSP00000358775,ENSP00000348880,ENSP00000318351</t>
  </si>
  <si>
    <t>NM_058216,NM_002876</t>
  </si>
  <si>
    <t>NP_478123.1,NP_002867.1</t>
  </si>
  <si>
    <t>ENST00000461271,ENST00000583539,ENST00000337432,ENST00000487921,ENST00000476741,ENST00000475762,ENST00000486827,ENST00000487525,ENST00000482007,ENST00000421782,ENST00000584617,ENST00000425173,ENST00000622327,ENST00000413590,ENST00000581221,ENST00000578151,ENST00000584804,ENST00000461706</t>
  </si>
  <si>
    <t>ENSP00000464056,ENSP00000463121,ENSP00000336701,ENSP00000432421,ENSP00000436761,ENSP00000431637,ENSP00000433332,ENSP00000391450,ENSP00000463473,ENSP00000407282,ENSP00000482326,ENSP00000401741,ENSP00000463658</t>
  </si>
  <si>
    <t>Homo sapiens ligand of numb-protein X 1, E3 ubiquitin protein ligase (LNX1)</t>
  </si>
  <si>
    <t>NM_001126328,NM_032622</t>
  </si>
  <si>
    <t>NP_001119800.1,NP_116011.2</t>
  </si>
  <si>
    <t>ENST00000306888,ENST00000263925,ENST00000511398,ENST00000513421,ENST00000510143,ENST00000512247,ENST00000507168,ENST00000504299,ENST00000504605</t>
  </si>
  <si>
    <t>ENSP00000302879,ENSP00000263925,ENSP00000426445,ENSP00000421897,ENSP00000424364,ENSP00000425135,ENSP00000423344</t>
  </si>
  <si>
    <t>Homo sapiens SPC24, NDC80 kinetochore complex component (SPC24)</t>
  </si>
  <si>
    <t>ENST00000585567,ENST00000592540,ENST00000591396,ENST00000592967,ENST00000423327,ENST00000586708,ENST00000585486</t>
  </si>
  <si>
    <t>ENSP00000468818,ENSP00000465075,ENSP00000466688,ENSP00000465335,ENSP00000397131,ENSP00000468366,ENSP00000465167</t>
  </si>
  <si>
    <t>NM_001040162,NM_032366,NM_001040165,NM_001040161,NM_001040160</t>
  </si>
  <si>
    <t>NP_001035252.1,NP_115742.3,NP_001035255.1,NP_001035251.1,NP_001035250.1</t>
  </si>
  <si>
    <t>ENST00000338401,ENST00000397666,ENST00000301686,ENST00000448973,ENST00000397664,ENST00000568077,ENST00000456420,ENST00000397665,ENST00000564039,ENST00000568773,ENST00000565163,ENST00000568830,ENST00000565799,ENST00000614890</t>
  </si>
  <si>
    <t>ENSP00000444140,ENSP00000440765,ENSP00000445926,ENSP00000440475,ENSP00000456569,ENSP00000454359,ENSP00000444460,ENSP00000456393,ENSP00000454993,ENSP00000455614,ENSP00000454764,ENSP00000482089</t>
  </si>
  <si>
    <t>NM_001099693,NM_001098577,NM_000993</t>
  </si>
  <si>
    <t>NP_001093163.1,NP_001092047.1,NP_000984.1</t>
  </si>
  <si>
    <t>ENST00000264258,ENST00000409000,ENST00000409028,ENST00000409320,ENST00000409733,ENST00000409650,ENST00000409038,ENST00000419276,ENST00000456292,ENST00000409711,ENST00000441435</t>
  </si>
  <si>
    <t>ENSP00000264258,ENSP00000387120,ENSP00000386717,ENSP00000387163,ENSP00000386681,ENSP00000386271,ENSP00000386737,ENSP00000402450,ENSP00000412976,ENSP00000387112,ENSP00000408172</t>
  </si>
  <si>
    <t>ENST00000490578,ENST00000472085,ENST00000259667,ENST00000474908,ENST00000474848,ENST00000471774,ENST00000461169</t>
  </si>
  <si>
    <t>NM_181515,NM_181514</t>
  </si>
  <si>
    <t>NP_852616.1,NP_852615.1</t>
  </si>
  <si>
    <t>ENST00000450904,ENST00000362034,ENST00000565125,ENST00000541279,ENST00000567045,ENST00000544567,ENST00000541265,ENST00000536637</t>
  </si>
  <si>
    <t>ENST00000367360,ENST00000367361,ENST00000479265</t>
  </si>
  <si>
    <t>ENSP00000356329,ENSP00000356330,ENSP00000417503</t>
  </si>
  <si>
    <t>Homo sapiens ATP synthase, H+ transporting, mitochondrial Fo complex, subunit C2 (subunit 9)</t>
  </si>
  <si>
    <t>NM_001002031,NM_005176</t>
  </si>
  <si>
    <t>NP_001002031.1,NP_005167.2</t>
  </si>
  <si>
    <t>ENST00000550241,ENST00000602871,ENST00000394349,ENST00000495596,ENST00000552242,ENST00000549164,ENST00000338662,ENST00000549748,ENST00000552120</t>
  </si>
  <si>
    <t>ENSP00000473535,ENSP00000377878,ENSP00000448801,ENSP00000447317,ENSP00000340315,ENSP00000447643</t>
  </si>
  <si>
    <t>NM_001080956,NM_001080955,NM_001080954,NM_001080953,NM_001080952,NM_001080951,NM_006718,NM_002656</t>
  </si>
  <si>
    <t>NP_001074425.1,NP_001074424.1,NP_001074423.1,NP_001074422.1,NP_001074421.1,NP_001074420.1,NP_006709.2,NP_002647.2</t>
  </si>
  <si>
    <t>ENST00000360537,ENST00000354765,ENST00000367572,ENST00000625622,ENST00000367571,ENST00000417959,ENST00000628651,ENST00000626294,ENST00000626462,ENST00000627449,ENST00000629195,ENST00000626373,ENST00000626022,ENST00000628069,ENST00000628630,ENST00000629890,ENST00000631184,ENST00000493898,ENST00000416623,ENST00000437412,ENST00000444202,ENST00000392307</t>
  </si>
  <si>
    <t>ENSP00000353734,ENSP00000346810,ENSP00000356544,ENSP00000486355,ENSP00000356543,ENSP00000395960,ENSP00000486632,ENSP00000487447,ENSP00000486752,ENSP00000485907,ENSP00000486763,ENSP00000486711,ENSP00000400060,ENSP00000392418,ENSP00000400929,ENSP00000376124</t>
  </si>
  <si>
    <t>Homo sapiens ferritin, light polypeptide (FTL)</t>
  </si>
  <si>
    <t>ENST00000331825,ENST00000622577</t>
  </si>
  <si>
    <t>ENSP00000366525,ENSP00000484043</t>
  </si>
  <si>
    <t>NM_017894,NM_001007072</t>
  </si>
  <si>
    <t>NP_060364.4,NP_001007073.1</t>
  </si>
  <si>
    <t>ENST00000540936,ENST00000448803,ENST00000546275,ENST00000546148,ENST00000442073,ENST00000334141,ENST00000358472,ENST00000502939,ENST00000379358,ENST00000327179,ENST00000541040,ENST00000538076,ENST00000540894,ENST00000485222,ENST00000303310</t>
  </si>
  <si>
    <t>ENSP00000446041,ENSP00000410198,ENSP00000442693,ENSP00000445451,ENSP00000439584,ENSP00000333895,ENSP00000351257,ENSP00000438628,ENSP00000368663,ENSP00000325123,ENSP00000441342,ENSP00000439132,ENSP00000441855,ENSP00000440004</t>
  </si>
  <si>
    <t>Homo sapiens potassium channel, voltage gated KQT-like subfamily Q, member 2 (KCNQ2)</t>
  </si>
  <si>
    <t>NM_172106,NM_172107,NM_172108</t>
  </si>
  <si>
    <t>NP_742104.1,NP_742105.1,NP_742106.1</t>
  </si>
  <si>
    <t>ENST00000626839,ENST00000629676,ENST00000625514,ENST00000629241,ENST00000370224,ENST00000359125,ENST00000357249,ENST00000360480,ENST00000344462,ENST00000629318,ENST00000627221,ENST00000370221,ENST00000482957,ENST00000344425,ENST00000629498,ENST00000626684,ENST00000630274,ENST00000626313,ENST00000626717</t>
  </si>
  <si>
    <t>ENSP00000486706,ENSP00000486194,ENSP00000486040,ENSP00000487142,ENSP00000359244,ENSP00000352035,ENSP00000349789,ENSP00000353668,ENSP00000339611,ENSP00000487384,ENSP00000487469,ENSP00000345523,ENSP00000486509,ENSP00000487563</t>
  </si>
  <si>
    <t>NM_020408,NM_001164840</t>
  </si>
  <si>
    <t>NP_065141.3,NP_001158312.1</t>
  </si>
  <si>
    <t>ENST00000330636,ENST00000606472,ENST00000468929,ENST00000464010,ENST00000463032,ENST00000458438,ENST00000480566,ENST00000500576,ENST00000455814</t>
  </si>
  <si>
    <t>ENSP00000418787,ENSP00000418321,ENSP00000420026,ENSP00000417885,ENSP00000419928,ENSP00000443900</t>
  </si>
  <si>
    <t>NM_001102560,NM_032483</t>
  </si>
  <si>
    <t>NP_001096030.1,NP_115872.2</t>
  </si>
  <si>
    <t>ENST00000529359,ENST00000424479,ENST00000530193,ENST00000530432,ENST00000524616,ENST00000531823,ENST00000534339,ENST00000531109,ENST00000527758,ENST00000422581,ENST00000531483,ENST00000419686,ENST00000528814,ENST00000527793,ENST00000524409</t>
  </si>
  <si>
    <t>ENSP00000434916,ENSP00000392553,ENSP00000432122,ENSP00000437248,ENSP00000431771,ENSP00000434555,ENSP00000390622,ENSP00000414522</t>
  </si>
  <si>
    <t>ENST00000252485,ENST00000252483,ENST00000591581,ENST00000587386,ENST00000585601,ENST00000592018</t>
  </si>
  <si>
    <t>ENSP00000252485,ENSP00000252483,ENSP00000465587,ENSP00000465511,ENSP00000468305</t>
  </si>
  <si>
    <t>NM_001002249,NM_001002248,NM_001002247,NM_001002246,NM_001002245,NM_001002244,NM_016476</t>
  </si>
  <si>
    <t>NP_001002249.1,NP_001002248.1,NP_001002247.1,NP_001002246.1,NP_001002245.1,NP_001002244.1,NP_057560.8</t>
  </si>
  <si>
    <t>ENST00000571570,ENST00000572639,ENST00000579978,ENST00000344877,ENST00000582222,ENST00000577425,ENST00000571024,ENST00000574924,ENST00000572851,ENST00000357385,ENST00000584314,ENST00000571874,ENST00000578550,ENST00000577747,ENST00000579133,ENST00000392376,ENST00000584197,ENST00000583839,ENST00000578544,ENST00000575195,ENST00000585259,ENST00000573956,ENST00000612413</t>
  </si>
  <si>
    <t>ENSP00000458143,ENSP00000460678,ENSP00000463640,ENSP00000339695,ENSP00000464403,ENSP00000462691,ENSP00000461648,ENSP00000460064,ENSP00000458265,ENSP00000349957,ENSP00000462250,ENSP00000459200,ENSP00000464615,ENSP00000463567,ENSP00000463889,ENSP00000376181,ENSP00000464519,ENSP00000463598,ENSP00000463357,ENSP00000458515,ENSP00000462527,ENSP00000484031</t>
  </si>
  <si>
    <t>ENST00000334307,ENST00000531554,ENST00000347206,ENST00000534635,ENST00000524539,ENST00000530697,ENST00000527108,ENST00000528092,ENST00000532470,ENST00000617650,ENST00000446510</t>
  </si>
  <si>
    <t>ENSP00000334848,ENSP00000433407,ENSP00000299442,ENSP00000433152,ENSP00000432685,ENSP00000435676,ENSP00000435190,ENSP00000431374,ENSP00000483671,ENSP00000403937</t>
  </si>
  <si>
    <t>ENST00000336578,ENST00000468798,ENST00000309049,ENST00000495025,ENST00000277795,ENST00000478192,ENST00000358769</t>
  </si>
  <si>
    <t>ENSP00000338041,ENSP00000476261,ENSP00000308466,ENSP00000476306,ENSP00000351619</t>
  </si>
  <si>
    <t>NM_032112,NM_176794,NM_176793</t>
  </si>
  <si>
    <t>NP_115488.2,NP_789764.1,NP_789763.1</t>
  </si>
  <si>
    <t>ENST00000523148,ENST00000318325,ENST00000370241,ENST00000370242,ENST00000476012,ENST00000448244,ENST00000299179,ENST00000370236,ENST00000493646,ENST00000318364,ENST00000477279,ENST00000370234,ENST00000487059,ENST00000342071</t>
  </si>
  <si>
    <t>ENSP00000430369,ENSP00000315364,ENSP00000359261,ENSP00000359262,ENSP00000408806,ENSP00000299179,ENSP00000359256,ENSP00000315948,ENSP00000471004,ENSP00000359254,ENSP00000339844</t>
  </si>
  <si>
    <t>NM_198188,NM_198186,NM_001184734,NM_198187,NM_014010</t>
  </si>
  <si>
    <t>NP_937831.1,NP_937829.3,NP_001171663.1,NP_937830.3,NP_054729.3</t>
  </si>
  <si>
    <t>ENST00000288520,ENST00000341734,ENST00000373986,ENST00000361209,ENST00000417725,ENST00000358637,ENST00000361477,ENST00000313400</t>
  </si>
  <si>
    <t>ENSP00000288520,ENSP00000339925,ENSP00000363098,ENSP00000354504,ENSP00000412099,ENSP00000351460,ENSP00000355116,ENSP00000314038</t>
  </si>
  <si>
    <t>NM_023085,NM_023083</t>
  </si>
  <si>
    <t>NP_075573.2,NP_075571.1</t>
  </si>
  <si>
    <t>ENST00000391984,ENST00000463653,ENST00000404753,ENST00000270364,ENST00000352879,ENST00000357048,ENST00000416591,ENST00000354082,ENST00000270361,ENST00000391983,ENST00000494738,ENST00000432084,ENST00000465943,ENST00000483602,ENST00000493058,ENST00000426297</t>
  </si>
  <si>
    <t>ENSP00000375844,ENSP00000384422,ENSP00000270364,ENSP00000289381,ENSP00000349556,ENSP00000400144,ENSP00000270362,ENSP00000270361,ENSP00000375843,ENSP00000407090,ENSP00000404064</t>
  </si>
  <si>
    <t>NM_181799,NM_007019,NM_181800,NM_181801</t>
  </si>
  <si>
    <t>NP_861515.1,NP_008950.1,NP_861516.1,NP_861517.1</t>
  </si>
  <si>
    <t>ENST00000356455,ENST00000335046,ENST00000243893,ENST00000352551,ENST00000372568,ENST00000496085,ENST00000405520,ENST00000617055</t>
  </si>
  <si>
    <t>ENSP00000348838,ENSP00000335674,ENSP00000243893,ENSP00000333975,ENSP00000361649,ENSP00000385878,ENSP00000479486</t>
  </si>
  <si>
    <t>Homo sapiens aldehyde dehydrogenase 4 family, member A1 (ALDH4A1)</t>
  </si>
  <si>
    <t>NM_001161504,NM_170726,NM_003748</t>
  </si>
  <si>
    <t>NP_001154976.1,NP_733844.1,NP_003739.2</t>
  </si>
  <si>
    <t>ENST00000290597,ENST00000375341,ENST00000538309,ENST00000454547,ENST00000432718,ENST00000538839</t>
  </si>
  <si>
    <t>ENSP00000290597,ENSP00000364490,ENSP00000442988,ENSP00000393209,ENSP00000446071</t>
  </si>
  <si>
    <t>NM_001036645,NM_001031693</t>
  </si>
  <si>
    <t>NP_001031722.1,NP_001026863.1</t>
  </si>
  <si>
    <t>ENST00000361764,ENST00000359875,ENST00000486110,ENST00000463058,ENST00000370940,ENST00000531950,ENST00000525653</t>
  </si>
  <si>
    <t>ENSP00000354815,ENSP00000352938,ENSP00000432048,ENSP00000359978,ENSP00000431678,ENSP00000434063</t>
  </si>
  <si>
    <t>NM_145047,NM_206837</t>
  </si>
  <si>
    <t>NP_659484.4,NP_996668.1</t>
  </si>
  <si>
    <t>NM_153741,NM_018973</t>
  </si>
  <si>
    <t>NP_714963.1,NP_061846.2</t>
  </si>
  <si>
    <t>ENST00000368399,ENST00000368400,ENST00000341298</t>
  </si>
  <si>
    <t>ENSP00000357384,ENSP00000357385,ENSP00000344338</t>
  </si>
  <si>
    <t>NM_000077,NM_058197,NM_058195,NM_001195132</t>
  </si>
  <si>
    <t>NP_000068.1,NP_478104.2,NP_478102.2,NP_001182061.1</t>
  </si>
  <si>
    <t>ENST00000304494,ENST00000579755,ENST00000579122,ENST00000578845,ENST00000530628,ENST00000498124,ENST00000498628,ENST00000380151,ENST00000494262,ENST00000479692,ENST00000577854,ENST00000380150,ENST00000497750,ENST00000470819,ENST00000361570</t>
  </si>
  <si>
    <t>ENSP00000307101,ENSP00000462950,ENSP00000464202,ENSP00000467390,ENSP00000432664,ENSP00000418915,ENSP00000467857,ENSP00000369496,ENSP00000464952,ENSP00000466887,ENSP00000468510,ENSP00000355153</t>
  </si>
  <si>
    <t>NM_014628,NM_001003690</t>
  </si>
  <si>
    <t>NP_055443.1,NP_001003690.1</t>
  </si>
  <si>
    <t>ENST00000451025,ENST00000372171,ENST00000508232</t>
  </si>
  <si>
    <t>ENSP00000410818,ENSP00000361244</t>
  </si>
  <si>
    <t>ENST00000318789,ENST00000475937,ENST00000460805,ENST00000497355,ENST00000491238,ENST00000327590,ENST00000498215,ENST00000493089,ENST00000484350,ENST00000468577,ENST00000614183,ENST00000485326,ENST00000472382,ENST00000497553,ENST00000610810,ENST00000622151,ENST00000318779,ENST00000470112,ENST00000493010,ENST00000498154,ENST00000471386,ENST00000614176,ENST00000615603</t>
  </si>
  <si>
    <t>ENSP00000318902,ENSP00000419393,ENSP00000418225,ENSP00000420736,ENSP00000333560,ENSP00000418102,ENSP00000418524,ENSP00000417857,ENSP00000418883,ENSP00000417941,ENSP00000484963,ENSP00000418784,ENSP00000479663,ENSP00000477918,ENSP00000318721,ENSP00000482847,ENSP00000484803</t>
  </si>
  <si>
    <t>NM_001127444,NM_001127443,NM_000072,NM_001001547</t>
  </si>
  <si>
    <t>NP_001120916.1,NP_001120915.1,NP_000063.2,NP_001001547.1</t>
  </si>
  <si>
    <t>NM_001024466,NM_001024465,NM_000636</t>
  </si>
  <si>
    <t>NP_001019637.1,NP_001019636.1,NP_000627.2</t>
  </si>
  <si>
    <t>Homo sapiens adenosine deaminase, tRNA-specific 3 (ADAT3)</t>
  </si>
  <si>
    <t>ENST00000329478,ENST00000454697</t>
  </si>
  <si>
    <t>ENSP00000332448,ENSP00000404502</t>
  </si>
  <si>
    <t>NM_197964,NR_073060,NR_073058,NR_073059</t>
  </si>
  <si>
    <t>NP_932068.2,-,-,-</t>
  </si>
  <si>
    <t>ENST00000468383,ENST00000481123,ENST00000482181,ENST00000488886,ENST00000297534</t>
  </si>
  <si>
    <t>ENST00000488492,ENST00000399312,ENST00000477091,ENST00000483977,ENST00000482679</t>
  </si>
  <si>
    <t>NM_001199745,NM_001667</t>
  </si>
  <si>
    <t>NP_001186674.1,NP_001658.2</t>
  </si>
  <si>
    <t>ENST00000246747,ENST00000524585,ENST00000529384,ENST00000533729,ENST00000531533,ENST00000529254</t>
  </si>
  <si>
    <t>ENSP00000246747,ENSP00000436021,ENSP00000432971</t>
  </si>
  <si>
    <t>ENST00000631145,ENST00000620558,ENST00000629095,ENST00000626885,ENST00000626041</t>
  </si>
  <si>
    <t>ENSP00000486207,ENSP00000480602,ENSP00000487006,ENSP00000486793</t>
  </si>
  <si>
    <t>Homo sapiens lymphocyte antigen 6 complex, locus G6D (LY6G6D)</t>
  </si>
  <si>
    <t>ENST00000434515,ENST00000430137,ENST00000483624</t>
  </si>
  <si>
    <t>ENSP00000392651,ENSP00000408650</t>
  </si>
  <si>
    <t>ENST00000550009,ENST00000229379,ENST00000549525</t>
  </si>
  <si>
    <t>ENST00000397640,ENST00000588202,ENST00000590676,ENST00000586891,ENST00000585710</t>
  </si>
  <si>
    <t>ENSP00000380762,ENSP00000465866,ENSP00000465299,ENSP00000464792</t>
  </si>
  <si>
    <t>ENST00000406938,ENST00000492582,ENST00000464225,ENST00000471515,ENST00000484266,ENST00000481673,ENST00000479003,ENST00000468532,ENST00000489453,ENST00000476289,ENST00000463053,ENST00000465842</t>
  </si>
  <si>
    <t>NM_199173|NM_001199664,NM_001199663,NM_001199662,NM_001199661</t>
  </si>
  <si>
    <t>NP_954642.1|NP_001186593.1,NP_001186592.1,NP_001186591.1,NP_001186590.1</t>
  </si>
  <si>
    <t>ENST00000368272,ENST00000471413|ENST00000490491,ENST00000368276,ENST00000320139,ENST00000567140</t>
  </si>
  <si>
    <t>ENSP00000357255|ENSP00000475561,ENSP00000357259,ENSP00000324909,ENSP00000458021</t>
  </si>
  <si>
    <t>ENST00000360046,ENST00000511914,ENST00000610970,ENST00000428284</t>
  </si>
  <si>
    <t>ENSP00000353151,ENSP00000448015,ENSP00000479166,ENSP00000408845</t>
  </si>
  <si>
    <t>Homo sapiens keratin 19, type I (KRT19)</t>
  </si>
  <si>
    <t>ENST00000361566,ENST00000468880,ENST00000593096,ENST00000471565,ENST00000479031,ENST00000455635,ENST00000462611</t>
  </si>
  <si>
    <t>ENSP00000355124,ENSP00000466625,ENSP00000408759</t>
  </si>
  <si>
    <t>ENST00000536460,ENST00000202967,ENST00000537892</t>
  </si>
  <si>
    <t>ENSP00000444838,ENSP00000202967</t>
  </si>
  <si>
    <t>ENST00000266735,ENST00000551316,ENST00000553192,ENST00000552085,ENST00000549580</t>
  </si>
  <si>
    <t>ENSP00000266735,ENSP00000447751,ENSP00000447127</t>
  </si>
  <si>
    <t>ENST00000371518,ENST00000371523,ENST00000361387,ENST00000456175,ENST00000395989,ENST00000467811,ENST00000477786,ENST00000395979,ENST00000346617,ENST00000371515,ENST00000216923,ENST00000461898</t>
  </si>
  <si>
    <t>ENSP00000360573,ENSP00000360578,ENSP00000355179,ENSP00000403424,ENSP00000379312,ENSP00000379303,ENSP00000344615,ENSP00000360570,ENSP00000216923</t>
  </si>
  <si>
    <t>ENST00000403625,ENST00000406374,ENST00000406039,ENST00000478569,ENST00000452953,ENST00000432817,ENST00000451144,ENST00000434115,ENST00000411628,ENST00000490016,ENST00000470421,ENST00000403666,ENST00000450827,ENST00000405643,ENST00000407621,ENST00000432426,ENST00000261569,ENST00000436277,ENST00000447738,ENST00000485768,ENST00000443808</t>
  </si>
  <si>
    <t>ENSP00000385727,ENSP00000385088,ENSP00000384547,ENSP00000407977,ENSP00000413573,ENSP00000396765,ENSP00000398417,ENSP00000421739,ENSP00000384313,ENSP00000404801,ENSP00000384099,ENSP00000385260,ENSP00000413854,ENSP00000261569,ENSP00000392478,ENSP00000398694,ENSP00000400551</t>
  </si>
  <si>
    <t>ENST00000361490,ENST00000325103,ENST00000467246,ENST00000462743,ENST00000359632,ENST00000478087,ENST00000470095,ENST00000497527,ENST00000498219,ENST00000338546,ENST00000414009,ENST00000480020,ENST00000474873,ENST00000465957,ENST00000613394</t>
  </si>
  <si>
    <t>ENSP00000355310,ENSP00000326649,ENSP00000352652,ENSP00000343638,ENSP00000392462,ENSP00000477926</t>
  </si>
  <si>
    <t>ENST00000540367,ENST00000265641,ENST00000539743,ENST00000537756,ENST00000538994,ENST00000565318,ENST00000569129,ENST00000561996,ENST00000376618</t>
  </si>
  <si>
    <t>ENSP00000439084,ENSP00000265641,ENSP00000446108,ENSP00000454332,ENSP00000457826,ENSP00000455116,ENSP00000457663,ENSP00000365803</t>
  </si>
  <si>
    <t>ENST00000380034,ENST00000380027,ENST00000433961,ENST00000396847,ENST00000438025,ENST00000483835,ENST00000492086,ENST00000465634,ENST00000487241,ENST00000412903,ENST00000419850</t>
  </si>
  <si>
    <t>ENSP00000369373,ENSP00000369366,ENSP00000393052,ENSP00000380058,ENSP00000398196,ENSP00000388031,ENSP00000388150</t>
  </si>
  <si>
    <t>ENST00000369016,ENST00000369014,ENST00000361532,ENST00000361631,ENST00000509582,ENST00000339643,ENST00000271690,ENST00000356527,ENST00000513281,ENST00000505321,ENST00000503345,ENST00000354702,ENST00000503241,ENST00000362052</t>
  </si>
  <si>
    <t>ENSP00000358012,ENSP00000358010,ENSP00000354835,ENSP00000355239,ENSP00000426110,ENSP00000341743,ENSP00000271690,ENSP00000348921,ENSP00000422343,ENSP00000421458,ENSP00000424242,ENSP00000355220</t>
  </si>
  <si>
    <t>ENST00000616132,ENST00000354753,ENST00000392944,ENST00000291775,ENST00000429455,ENST00000440944</t>
  </si>
  <si>
    <t>ENSP00000479405,ENSP00000346797,ENSP00000376673,ENSP00000291775,ENSP00000390705,ENSP00000392828</t>
  </si>
  <si>
    <t>Homo sapiens La ribonucleoprotein domain family, member 6 (LARP6)</t>
  </si>
  <si>
    <t>ENST00000299213,ENST00000559316,ENST00000560052,ENST00000344870,ENST00000559140</t>
  </si>
  <si>
    <t>ENSP00000299213,ENSP00000467334,ENSP00000343869,ENSP00000453551</t>
  </si>
  <si>
    <t>ENST00000626929,ENST00000627604,ENST00000626064,ENST00000621089,ENST00000302979,ENST00000399697,ENST00000489647,ENST00000630983,ENST00000465887,ENST00000399696,ENST00000472179,ENST00000630281</t>
  </si>
  <si>
    <t>ENSP00000486327,ENSP00000478213,ENSP00000302478,ENSP00000382604,ENSP00000483656,ENSP00000486928,ENSP00000487057,ENSP00000382603</t>
  </si>
  <si>
    <t>Homo sapiens small nucleolar RNA, C/D box 33 (SNORD33)</t>
  </si>
  <si>
    <t>Homo sapiens small nucleolar RNA, C/D box 35A (SNORD35A)</t>
  </si>
  <si>
    <t>ENST00000456545,ENST00000308354,ENST00000452226,ENST00000397760,ENST00000397761,ENST00000616289,ENST00000436754,ENST00000426493,ENST00000429812,ENST00000409141,ENST00000265810,ENST00000409417,ENST00000416159,ENST00000448520,ENST00000491330,ENST00000622226,ENST00000464275,ENST00000614502,ENST00000443561,ENST00000339162,ENST00000622702</t>
  </si>
  <si>
    <t>ENSP00000401992,ENSP00000312634,ENSP00000394376,ENSP00000380867,ENSP00000380868,ENSP00000478370,ENSP00000397738,ENSP00000392920,ENSP00000407643,ENSP00000386868,ENSP00000265810,ENSP00000387084,ENSP00000412936,ENSP00000481074,ENSP00000481268,ENSP00000477546,ENSP00000478826,ENSP00000342035,ENSP00000479453</t>
  </si>
  <si>
    <t>Homo sapiens small nucleolar RNA, H/ACA box 63 (SNORA63)</t>
  </si>
  <si>
    <t>Homo sapiens small nucleolar RNA, H/ACA box 81 (SNORA81)</t>
  </si>
  <si>
    <t>Homo sapiens small nucleolar RNA, C/D box 2 (SNORD2)</t>
  </si>
  <si>
    <t>ENST00000275569,ENST00000310842,ENST00000441393,ENST00000424818,ENST00000454397</t>
  </si>
  <si>
    <t>ENSP00000275569,ENSP00000309233,ENSP00000416963,ENSP00000416591,ENSP00000405319</t>
  </si>
  <si>
    <t>Homo sapiens protocadherin gamma subfamily C, 3 (PCDHGC3)</t>
  </si>
  <si>
    <t>ENST00000611950,ENST00000617641,ENST00000616230,ENST00000621008,ENST00000617222,ENST00000308177,ENST00000622656,ENST00000622836</t>
  </si>
  <si>
    <t>ENSP00000481219,ENSP00000483383,ENSP00000484352,ENSP00000481673,ENSP00000312070</t>
  </si>
  <si>
    <t>ENST00000562759,ENST00000478497,ENST00000485386</t>
  </si>
  <si>
    <t>ENSP00000457965,ENSP00000453502,ENSP00000453693</t>
  </si>
  <si>
    <t>Homo sapiens X antigen family, member 2 (XAGE2)</t>
  </si>
  <si>
    <t>Homo sapiens family with sequence similarity 58, member A (FAM58A)</t>
  </si>
  <si>
    <t>NM_001130997,NM_152274</t>
  </si>
  <si>
    <t>NP_001124469.1,NP_689487.2</t>
  </si>
  <si>
    <t>ENST00000576892,ENST00000614851,ENST00000620088,ENST00000440428,ENST00000621629,ENST00000429336,ENST00000614850,ENST00000621817,ENST00000482182</t>
  </si>
  <si>
    <t>ENSP00000461135,ENSP00000483391,ENSP00000484108,ENSP00000402949,ENSP00000478747,ENSP00000412865,ENSP00000484506,ENSP00000481634,ENSP00000466345</t>
  </si>
  <si>
    <t>ENST00000554971,ENST00000381575,ENST00000381578,ENST00000334060</t>
  </si>
  <si>
    <t>ENSP00000452016,ENSP00000370987,ENSP00000370990,ENSP00000335505</t>
  </si>
  <si>
    <t>NM_001142413,NM_001001938</t>
  </si>
  <si>
    <t>NP_001135885.1,NP_001001938.1</t>
  </si>
  <si>
    <t>ENST00000375851,ENST00000375850,ENST00000334490</t>
  </si>
  <si>
    <t>ENSP00000365011,ENSP00000365010,ENSP00000335616</t>
  </si>
  <si>
    <t>NM_001025204,NM_001025203,NM_006758</t>
  </si>
  <si>
    <t>NP_001020375.1,NP_001020374.1,NP_006749.1</t>
  </si>
  <si>
    <t>NM_001118890,NM_002064,NM_001243659,NM_001243658</t>
  </si>
  <si>
    <t>NP_001112362.1,NP_002055.1,NP_001230588.1,NP_001230587.1</t>
  </si>
  <si>
    <t>ENST00000508780,ENST00000507605,ENST00000237858,ENST00000379979,ENST00000507412,ENST00000505427,ENST00000512469</t>
  </si>
  <si>
    <t>ENSP00000422708,ENSP00000237858,ENSP00000369314,ENSP00000427353,ENSP00000424636</t>
  </si>
  <si>
    <t>ENST00000329276,ENST00000494697,ENST00000470143,ENST00000469588,ENST00000445139,ENST00000460258,ENST00000496775,ENST00000480992,ENST00000484998,ENST00000612233,ENST00000467196,ENST00000616692,ENST00000415272,ENST00000492135,ENST00000466447,ENST00000480447,ENST00000490753,ENST00000471023,ENST00000462630,ENST00000467857</t>
  </si>
  <si>
    <t>ENSP00000370589,ENSP00000388497,ENSP00000434317,ENSP00000403199</t>
  </si>
  <si>
    <t>Homo sapiens small nucleolar RNA, C/D box 21 (SNORD21)</t>
  </si>
  <si>
    <t>ENST00000559005,ENST00000560410,ENST00000216802,ENST00000471700,ENST00000559042,ENST00000559453,ENST00000558273,ENST00000558931,ENST00000560370,ENST00000559359,ENST00000559056,ENST00000559493,ENST00000560592,ENST00000560788,ENST00000559613,ENST00000561103,ENST00000615264,ENST00000630027</t>
  </si>
  <si>
    <t>ENSP00000453487,ENSP00000216802,ENSP00000453195,ENSP00000453161,ENSP00000452940,ENSP00000484569,ENSP00000485798</t>
  </si>
  <si>
    <t>NM_001145364,NM_148913,NM_148912,NR_026910</t>
  </si>
  <si>
    <t>NP_001138836.1,NP_683711.1,NP_683710.1,-</t>
  </si>
  <si>
    <t>Homo sapiens ATP synthase, H+ transporting, mitochondrial Fo complex, subunit F6 (ATP5J)</t>
  </si>
  <si>
    <t>NM_001003701,NM_001003703,NM_001003697,NM_001003696,NM_001685</t>
  </si>
  <si>
    <t>NP_001003701.1,NP_001003703.1,NP_001003697.1,NP_001003696.1,NP_001676.2</t>
  </si>
  <si>
    <t>ENST00000400099,ENST00000400094,ENST00000284971,ENST00000457143,ENST00000400090,ENST00000400087,ENST00000400093,ENST00000486002</t>
  </si>
  <si>
    <t>ENSP00000382971,ENSP00000382966,ENSP00000284971,ENSP00000389649,ENSP00000382962,ENSP00000382959,ENSP00000382965</t>
  </si>
  <si>
    <t>NM_001006114,NM_058181</t>
  </si>
  <si>
    <t>NP_001006114.1,NP_478061.1</t>
  </si>
  <si>
    <t>ENST00000397701,ENST00000468924,ENST00000397694,ENST00000329319,ENST00000339195,ENST00000397692,ENST00000492864,ENST00000397691</t>
  </si>
  <si>
    <t>ENSP00000380813,ENSP00000380808,ENSP00000329614,ENSP00000340675,ENSP00000380806,ENSP00000380805</t>
  </si>
  <si>
    <t>NM_001190807,NM_001914,NM_148923</t>
  </si>
  <si>
    <t>NP_001177736.1,NP_001905.1,NP_683725.1</t>
  </si>
  <si>
    <t>ENST00000233893,ENST00000409729,ENST00000473395,ENST00000409468,ENST00000495200,ENST00000465573,ENST00000463841</t>
  </si>
  <si>
    <t>ENSP00000233893,ENSP00000387101,ENSP00000386447</t>
  </si>
  <si>
    <t>NM_198175,NM_000269</t>
  </si>
  <si>
    <t>NP_937818.1,NP_000260.1</t>
  </si>
  <si>
    <t>ENST00000393196,ENST00000487481,ENST00000336097,ENST00000480143,ENST00000512768,ENST00000511355,ENST00000475573,ENST00000013034,ENST00000456492,ENST00000465188</t>
  </si>
  <si>
    <t>ENSP00000376892,ENSP00000337060,ENSP00000429318,ENSP00000428553,ENSP00000435498,ENSP00000013034,ENSP00000387682</t>
  </si>
  <si>
    <t>Homo sapiens laminin, alpha 4 (LAMA4)</t>
  </si>
  <si>
    <t>NM_001105208,NM_001105209</t>
  </si>
  <si>
    <t>NP_001098678.1,NP_001098679.1</t>
  </si>
  <si>
    <t>ENST00000230538,ENST00000522006,ENST00000389463,ENST00000424408,ENST00000604740,ENST00000521693,ENST00000519245,ENST00000523765,ENST00000521187,ENST00000521732,ENST00000368640,ENST00000521398,ENST00000518842,ENST00000524032,ENST00000423735,ENST00000519932,ENST00000431543,ENST00000243219,ENST00000521690,ENST00000368638,ENST00000453937,ENST00000455073</t>
  </si>
  <si>
    <t>ENSP00000230538,ENSP00000429488,ENSP00000374114,ENSP00000416470,ENSP00000427837,ENSP00000427865,ENSP00000357629,ENSP00000430336,ENSP00000428583,ENSP00000412136,ENSP00000243219,ENSP00000430415,ENSP00000357627,ENSP00000398226,ENSP00000408604</t>
  </si>
  <si>
    <t>NM_013958,NM_001160002,NM_004495</t>
  </si>
  <si>
    <t>NP_039252.2,NP_001153474.1,NP_004486.2</t>
  </si>
  <si>
    <t>ENST00000377270,ENST00000396366,ENST00000498653,ENST00000484259,ENST00000396364</t>
  </si>
  <si>
    <t>ENSP00000366482,ENSP00000379652,ENSP00000418015,ENSP00000419243,ENSP00000379650</t>
  </si>
  <si>
    <t>ENST00000361436,ENST00000497825,ENST00000497322,ENST00000483598,ENST00000536368</t>
  </si>
  <si>
    <t>ENSP00000354739,ENSP00000441179</t>
  </si>
  <si>
    <t>Homo sapiens ATP synthase, H+ transporting, mitochondrial F1 complex, epsilon subunit (ATP5E)</t>
  </si>
  <si>
    <t>ENST00000243997,ENST00000395663,ENST00000395659</t>
  </si>
  <si>
    <t>ENSP00000243997,ENSP00000379023,ENSP00000379019</t>
  </si>
  <si>
    <t>Homo sapiens ATP synthase, H+ transporting, mitochondrial Fo complex, subunit C1 (subunit 9)</t>
  </si>
  <si>
    <t>NM_001002027,NM_005175</t>
  </si>
  <si>
    <t>NP_001002027.1,NP_005166.1</t>
  </si>
  <si>
    <t>ENST00000355938,ENST00000513347,ENST00000503641,ENST00000514808,ENST00000393366,ENST00000506855,ENST00000513781,ENST00000504591,ENST00000502964,ENST00000515060</t>
  </si>
  <si>
    <t>ENSP00000348205,ENSP00000426094,ENSP00000422086,ENSP00000377033,ENSP00000422950,ENSP00000458423</t>
  </si>
  <si>
    <t>NM_001242825,NM_001135822</t>
  </si>
  <si>
    <t>NP_001229754.1,NP_001129294.1</t>
  </si>
  <si>
    <t>ENST00000468479,ENST00000447866,ENST00000461507,ENST00000368356,ENST00000474345,ENST00000471117,ENST00000467076,ENST00000495308,ENST00000487002,ENST00000491013,ENST00000356657,ENST00000465559,ENST00000470171,ENST00000612683,ENST00000489003,ENST00000477057,ENST00000492887,ENST00000492244,ENST00000490140,ENST00000489324,ENST00000611010</t>
  </si>
  <si>
    <t>ENSP00000391755,ENSP00000357340,ENSP00000478032,ENSP00000480142,ENSP00000479557,ENSP00000349078,ENSP00000484099,ENSP00000478235,ENSP00000483188</t>
  </si>
  <si>
    <t>Homo sapiens FK506 binding protein 1A, 12kDa (FKBP1A)</t>
  </si>
  <si>
    <t>ENST00000474657,ENST00000400137,ENST00000381724,ENST00000460490,ENST00000474726,ENST00000381719,ENST00000381715,ENST00000612074,ENST00000614856,ENST00000618612,ENST00000439640</t>
  </si>
  <si>
    <t>ENSP00000383003,ENSP00000371143,ENSP00000371138,ENSP00000371134,ENSP00000480846,ENSP00000482758,ENSP00000478093,ENSP00000409863</t>
  </si>
  <si>
    <t>NM_013958,NM_001160007,NM_001160005,NM_001160002,NM_013962,NM_004495</t>
  </si>
  <si>
    <t>NP_039252.2,NP_001153479.1,NP_001153477.1,NP_001153474.1,NP_039256.2,NP_004486.2</t>
  </si>
  <si>
    <t>NR_024610,NM_005340,NR_073488,NR_024611</t>
  </si>
  <si>
    <t>-,NP_005331.1,-,-</t>
  </si>
  <si>
    <t>ENST00000304043,ENST00000511475,ENST00000508495,ENST00000513345,ENST00000506207,ENST00000504202,ENST00000508488,ENST00000506908,ENST00000513012,ENST00000520028</t>
  </si>
  <si>
    <t>ENSP00000304229,ENSP00000427008,ENSP00000424974,ENSP00000421608,ENSP00000425260,ENSP00000427499,ENSP00000426860,ENSP00000422444,ENSP00000430909</t>
  </si>
  <si>
    <t>NM_005515,NM_001165255</t>
  </si>
  <si>
    <t>NP_005506.3,NP_001158727.1</t>
  </si>
  <si>
    <t>ENST00000469500,ENST00000479817,ENST00000252971,ENST00000425745,ENST00000428439,ENST00000474448,ENST00000605400,ENST00000543409</t>
  </si>
  <si>
    <t>ENSP00000475129,ENSP00000474286,ENSP00000252971,ENSP00000416458,ENSP00000401158,ENSP00000473965,ENSP00000438552</t>
  </si>
  <si>
    <t>NR_033397,NM_198318,NM_001536,NM_001207042</t>
  </si>
  <si>
    <t>-,NP_938074.2,NP_001527.3,NP_001193971.1</t>
  </si>
  <si>
    <t>ENST00000529284,ENST00000532489,ENST00000527382,ENST00000528623,ENST00000534465,ENST00000391851,ENST00000534280,ENST00000534676,ENST00000525915,ENST00000454376,ENST00000525616,ENST00000524771,ENST00000529836,ENST00000526224,ENST00000527412,ENST00000529650,ENST00000530070,ENST00000530361,ENST00000528126,ENST00000527866,ENST00000610806</t>
  </si>
  <si>
    <t>ENSP00000432349,ENSP00000433556,ENSP00000432538,ENSP00000434911,ENSP00000431957,ENSP00000375724,ENSP00000432050,ENSP00000406162,ENSP00000433480,ENSP00000437273,ENSP00000432788,ENSP00000436732,ENSP00000484505</t>
  </si>
  <si>
    <t>ENST00000301821,ENST00000477325,ENST00000475346,ENST00000487876,ENST00000458478,ENST00000443003,ENST00000444512,ENST00000478027,ENST00000495394</t>
  </si>
  <si>
    <t>ENSP00000346067,ENSP00000410848,ENSP00000389351,ENSP00000396716</t>
  </si>
  <si>
    <t>ENST00000514264,ENST00000513177,ENST00000512737,ENST00000503064,ENST00000393183,ENST00000485076,ENST00000393190,ENST00000570801,ENST00000573262</t>
  </si>
  <si>
    <t>ENSP00000426976,ENSP00000425581,ENSP00000421064,ENSP00000426901,ENSP00000376880,ENSP00000376886</t>
  </si>
  <si>
    <t>NM_002899,NM_001130993,NM_001130992</t>
  </si>
  <si>
    <t>NP_002890.2,NP_001124465.1,NP_001124464.1</t>
  </si>
  <si>
    <t>Homo sapiens sodium channel, voltage gated, type V alpha subunit (SCN5A)</t>
  </si>
  <si>
    <t>NM_001160161,NM_001160160,NM_198056,NM_000335,NM_001099405,NM_001099404</t>
  </si>
  <si>
    <t>NP_001153633.1,NP_001153632.1,NP_932173.1,NP_000326.2,NP_001092875.1,NP_001092874.1</t>
  </si>
  <si>
    <t>ENST00000414099,ENST00000423572,ENST00000413689,ENST00000333535,ENST00000455624,ENST00000450102,ENST00000449557,ENST00000464652,ENST00000491944,ENST00000476683,ENST00000327956,ENST00000451551,ENST00000425664,ENST00000612060</t>
  </si>
  <si>
    <t>ENSP00000398962,ENSP00000398266,ENSP00000410257,ENSP00000328968,ENSP00000399524,ENSP00000403355,ENSP00000413996,ENSP00000333674,ENSP00000388797,ENSP00000416634,ENSP00000479016</t>
  </si>
  <si>
    <t>NM_153200,NM_003792</t>
  </si>
  <si>
    <t>NP_694880.1,NP_003783.1</t>
  </si>
  <si>
    <t>NM_145731,NM_145738</t>
  </si>
  <si>
    <t>NP_663783.1,NP_663791.1</t>
  </si>
  <si>
    <t>ENST00000318801,ENST00000216155,ENST00000415332,ENST00000406293,ENST00000328933,ENST00000489206,ENST00000381535</t>
  </si>
  <si>
    <t>ENSP00000318845,ENSP00000216155,ENSP00000412442,ENSP00000385447,ENSP00000332287,ENSP00000370946</t>
  </si>
  <si>
    <t>ENST00000549275,ENST00000551245,ENST00000380327,ENST00000548311,ENST00000549891,ENST00000550346,ENST00000550709,ENST00000546735,ENST00000549534,ENST00000546776,ENST00000257909,ENST00000551192,ENST00000547807,ENST00000551567,ENST00000548817,ENST00000547923</t>
  </si>
  <si>
    <t>ENSP00000449866,ENSP00000447509,ENSP00000369684,ENSP00000448313,ENSP00000446564,ENSP00000449588,ENSP00000449984,ENSP00000447876,ENSP00000449032,ENSP00000449245,ENSP00000257909,ENSP00000450306,ENSP00000446646,ENSP00000447244,ENSP00000447421</t>
  </si>
  <si>
    <t>NM_006443,NM_199184</t>
  </si>
  <si>
    <t>NP_006434.1,NP_954653.1</t>
  </si>
  <si>
    <t>ENST00000230431,ENST00000509253,ENST00000393987,ENST00000505042</t>
  </si>
  <si>
    <t>ENSP00000230431,ENSP00000422440,ENSP00000377556</t>
  </si>
  <si>
    <t>NM_001111101,NM_015463</t>
  </si>
  <si>
    <t>NP_001104571.1,NP_056278.1</t>
  </si>
  <si>
    <t>NM_001201965,NM_145863,NM_016115</t>
  </si>
  <si>
    <t>NP_001188894.1,NP_665862.1,NP_057199.1</t>
  </si>
  <si>
    <t>ENST00000406053,ENST00000482339,ENST00000490794,ENST00000263634,ENST00000482829,ENST00000406687,ENST00000394717,ENST00000470707,ENST00000470916,ENST00000480522,ENST00000489508,ENST00000482134,ENST00000414369</t>
  </si>
  <si>
    <t>ENSP00000385137,ENSP00000263634,ENSP00000384728,ENSP00000378206</t>
  </si>
  <si>
    <t>NM_001170629,NM_020920</t>
  </si>
  <si>
    <t>NP_001164100.1,NP_065971.2</t>
  </si>
  <si>
    <t>ENST00000430710,ENST00000557727,ENST00000557364,ENST00000553870,ENST00000555301,ENST00000557329,ENST00000555962,ENST00000555935,ENST00000554384,ENST00000553283,ENST00000553622,ENST00000556833,ENST00000553651,ENST00000399982</t>
  </si>
  <si>
    <t>ENSP00000406288,ENSP00000451601,ENSP00000451071,ENSP00000451442,ENSP00000450860,ENSP00000450957,ENSP00000382863</t>
  </si>
  <si>
    <t>Homo sapiens tubulin, alpha 4b (TUBA4B)</t>
  </si>
  <si>
    <t>Homo sapiens family with sequence similarity 104, member B (FAM104B)</t>
  </si>
  <si>
    <t>NM_001166703,NM_001166702</t>
  </si>
  <si>
    <t>NP_001160175.1,NP_001160174.1</t>
  </si>
  <si>
    <t>ENST00000358460,ENST00000472571,ENST00000477847,ENST00000489298,ENST00000478918,ENST00000425133,ENST00000332132</t>
  </si>
  <si>
    <t>ENSP00000364101,ENSP00000420895,ENSP00000421161,ENSP00000423164,ENSP00000397188,ENSP00000333394</t>
  </si>
  <si>
    <t>Homo sapiens RNA, 7SK small nuclear (RN7SK)</t>
  </si>
  <si>
    <t>ENST00000509549,ENST00000399568,ENST00000399562,ENST00000333059,ENST00000542103,ENST00000611555</t>
  </si>
  <si>
    <t>ENSP00000424903,ENSP00000382478,ENSP00000382474,ENSP00000333064,ENSP00000439212,ENSP00000479673</t>
  </si>
  <si>
    <t>ENST00000307266,ENST00000607357,ENST00000491765,ENST00000489698,ENST00000403160</t>
  </si>
  <si>
    <t>ENSP00000304147,ENSP00000475979,ENSP00000383946</t>
  </si>
  <si>
    <t>Homo sapiens H2B histone family, member W, testis-specific (H2BFWT)</t>
  </si>
  <si>
    <t>ENST00000217926,ENST00000611083</t>
  </si>
  <si>
    <t>ENSP00000354723,ENSP00000482103</t>
  </si>
  <si>
    <t>Homo sapiens apolipoprotein B mRNA editing enzyme, catalytic polypeptide-like 3F (APOBEC3F)</t>
  </si>
  <si>
    <t>ENST00000491387,ENST00000308521,ENST00000381565,ENST00000476513</t>
  </si>
  <si>
    <t>ENSP00000309749,ENSP00000370977</t>
  </si>
  <si>
    <t>NM_001034836,NM_145654,NM_001163130,NM_001163125,NM_001163124,NM_001163122,NM_001163121,NM_001163120,NR_028000,NR_027999,NR_027998,NR_027997,NR_027996</t>
  </si>
  <si>
    <t>NP_001030008.1,NP_663629.1,NP_001156602.1,NP_001156597.1,NP_001156596.1,NP_001156594.1,NP_001156593.1,NP_001156592.1,-,-,-,-,-</t>
  </si>
  <si>
    <t>ENST00000616735,ENST00000618461,ENST00000632857,ENST00000633122,ENST00000632922,ENST00000633612,ENST00000634177,ENST00000611538,ENST00000633984,ENST00000634031,ENST00000632131,ENST00000632708,ENST00000632931,ENST00000613554</t>
  </si>
  <si>
    <t>ENSP00000483566,ENSP00000481061,ENSP00000488876,ENSP00000488617,ENSP00000488806,ENSP00000488160,ENSP00000487670,ENSP00000478597,ENSP00000488583,ENSP00000487863,ENSP00000487602,ENSP00000488202,ENSP00000487935,ENSP00000481726</t>
  </si>
  <si>
    <t>NM_001034836,NM_145654,NM_001163130,NM_001163122,NM_001163121</t>
  </si>
  <si>
    <t>NP_001030008.1,NP_663629.1,NP_001156602.1,NP_001156594.1,NP_001156593.1</t>
  </si>
  <si>
    <t>Homo sapiens taste receptor, type 2, member 20 (TAS2R20)</t>
  </si>
  <si>
    <t>ENST00000566205,ENST00000339465,ENST00000569120,ENST00000566861,ENST00000562097,ENST00000565432,ENST00000565501,ENST00000565006</t>
  </si>
  <si>
    <t>ENSP00000454320,ENSP00000340445,ENSP00000455158,ENSP00000455957,ENSP00000458067</t>
  </si>
  <si>
    <t>ENST00000520537,ENST00000520484,ENST00000522577,ENST00000518137,ENST00000520367,ENST00000523999,ENST00000519117,ENST00000323854,ENST00000521330,ENST00000522751,ENST00000520136,ENST00000520284,ENST00000517795,ENST00000523228,ENST00000523828,ENST00000522200,ENST00000520118,ENST00000521565,ENST00000518907,ENST00000521847,ENST00000521830,ENST00000518644,ENST00000518901,ENST00000523165,ENST00000517295,ENST00000520910,ENST00000520565,ENST00000521634,ENST00000572886,ENST00000519331</t>
  </si>
  <si>
    <t>ENSP00000430046,ENSP00000429442,ENSP00000429190,ENSP00000431036,ENSP00000427921,ENSP00000429183,ENSP00000317810,ENSP00000458185,ENSP00000461194,ENSP00000458391,ENSP00000461577,ENSP00000429603,ENSP00000459831,ENSP00000461563,ENSP00000459127,ENSP00000458361,ENSP00000461060,ENSP00000460685,ENSP00000428283,ENSP00000430509,ENSP00000461376,ENSP00000430639</t>
  </si>
  <si>
    <t>Homo sapiens LysM, putative peptidoglycan-binding, domain containing 1 (LYSMD1)</t>
  </si>
  <si>
    <t>NM_001136543,NM_212551</t>
  </si>
  <si>
    <t>NP_001130015.1,NP_997716.1</t>
  </si>
  <si>
    <t>ENST00000368908,ENST00000440902</t>
  </si>
  <si>
    <t>ENSP00000357904,ENSP00000404059</t>
  </si>
  <si>
    <t>NM_001165030,NR_028491</t>
  </si>
  <si>
    <t>NP_001158502.1,-</t>
  </si>
  <si>
    <t>ENST00000575724,ENST00000571363,ENST00000574111,ENST00000573139</t>
  </si>
  <si>
    <t>ENSP00000461496,ENSP00000461043</t>
  </si>
  <si>
    <t>Homo sapiens UDP glucuronosyltransferase 2 family, polypeptide A1, complex locus (UGT2A1)|Homo sapiens UDP glucuronosyltransferase 2 family, polypeptide A2 (UGT2A2)</t>
  </si>
  <si>
    <t>ENST00000503640,ENST00000512704,ENST00000286604,ENST00000502343,ENST00000514341,ENST00000505512,ENST00000457664|ENST00000604629,ENST00000604021</t>
  </si>
  <si>
    <t>ENSP00000424478,ENSP00000421432,ENSP00000286604,ENSP00000427709,ENSP00000387888|ENSP00000475028,ENSP00000474383</t>
  </si>
  <si>
    <t>NM_001098824,NM_001098825,NM_001098823,NM_001098822,NM_001098821,NM_001042595</t>
  </si>
  <si>
    <t>NP_001092294.1,NP_001092295.1,NP_001092293.1,NP_001092292.1,NP_001092291.1,NP_001036060.1</t>
  </si>
  <si>
    <t>ENST00000539627,ENST00000604123,ENST00000413014,ENST00000392002,ENST00000436170,ENST00000447302,ENST00000544232,ENST00000542945,ENST00000537354,ENST00000342187,ENST00000356385,ENST00000546050,ENST00000546362,ENST00000535712</t>
  </si>
  <si>
    <t>ENSP00000441900,ENSP00000474871,ENSP00000413192,ENSP00000375859,ENSP00000407003,ENSP00000405647,ENSP00000437779,ENSP00000440225,ENSP00000437868,ENSP00000345589,ENSP00000348750,ENSP00000440752,ENSP00000441729,ENSP00000443375</t>
  </si>
  <si>
    <t>Homo sapiens zinc finger, CCHC domain containing 18 (ZCCHC18)</t>
  </si>
  <si>
    <t>NM_001143978,NR_026694</t>
  </si>
  <si>
    <t>NP_001137450.1,-</t>
  </si>
  <si>
    <t>ENST00000423478,ENST00000537356,ENST00000422784,ENST00000605784,ENST00000603049,ENST00000611638</t>
  </si>
  <si>
    <t>ENSP00000473824,ENSP00000482195</t>
  </si>
  <si>
    <t>NM_001269,NM_001048195,NM_001048194,NM_001048199,NR_030726,NR_030725</t>
  </si>
  <si>
    <t>NP_001260.1,NP_001041660.1,NP_001041659.1,NP_001041664.1,-,-</t>
  </si>
  <si>
    <t>ENST00000427469,ENST00000434290,ENST00000373833,ENST00000419074,ENST00000373832,ENST00000373831,ENST00000411533,ENST00000486790,ENST00000430407,ENST00000429051,ENST00000478232,ENST00000398958</t>
  </si>
  <si>
    <t>ENSP00000402740,ENSP00000405258,ENSP00000362939,ENSP00000402260,ENSP00000362938,ENSP00000362937,ENSP00000413644,ENSP00000472057,ENSP00000394650,ENSP00000381931</t>
  </si>
  <si>
    <t>ENST00000531323,ENST00000377953</t>
  </si>
  <si>
    <t>ENSP00000432692,ENSP00000367189</t>
  </si>
  <si>
    <t>NR_130723,NR_130722</t>
  </si>
  <si>
    <t>ENST00000445873,ENST00000425505</t>
  </si>
  <si>
    <t>Homo sapiens family with sequence similarity 159, member B (FAM159B)</t>
  </si>
  <si>
    <t>ENST00000389074,ENST00000509189,ENST00000506473,ENST00000512767,ENST00000513930</t>
  </si>
  <si>
    <t>ENSP00000373726,ENSP00000426194,ENSP00000426145</t>
  </si>
  <si>
    <t>ENST00000225655,ENST00000574872,ENST00000572383</t>
  </si>
  <si>
    <t>ENSP00000225655,ENSP00000465019,ENSP00000460363</t>
  </si>
  <si>
    <t>Homo sapiens family with sequence similarity 127, member A (FAM127A)</t>
  </si>
  <si>
    <t>ENST00000257013,ENST00000495563,ENST00000464369</t>
  </si>
  <si>
    <t>NM_138362,NM_001166699,NM_001166701,NM_001166700,NM_001166704,NR_030722</t>
  </si>
  <si>
    <t>NP_612371.2,NP_001160171.1,NP_001160173.1,NP_001160172.1,NP_001160176.1,-</t>
  </si>
  <si>
    <t>ENST00000419165,ENST00000455723,ENST00000563257,ENST00000436583,ENST00000569577,ENST00000540220</t>
  </si>
  <si>
    <t>ENSP00000456121,ENSP00000457524,ENSP00000455771,ENSP00000457057,ENSP00000455371</t>
  </si>
  <si>
    <t>Homo sapiens protein phosphatase 4, regulatory subunit 1-like (pseudogene)</t>
  </si>
  <si>
    <t>NR_034094,NR_034093,NR_046375,NR_046374</t>
  </si>
  <si>
    <t>-,-,-,-</t>
  </si>
  <si>
    <t>ENST00000529829,ENST00000529979,ENST00000525578</t>
  </si>
  <si>
    <t>NR_029374,NR_029373</t>
  </si>
  <si>
    <t>ENST00000436413,ENST00000508266,ENST00000512637,ENST00000507799,ENST00000506314,ENST00000508286,ENST00000512129</t>
  </si>
  <si>
    <t>XR_922684,XR_922683,XR_922682,XM_011510392,XM_011510391,XM_011510390,XM_011510389,XM_011510388,XM_006711894,NM_001287444</t>
  </si>
  <si>
    <t>-,-,-,XP_011508694.1,XP_011508693.1,XP_011508692.1,XP_011508691.1,XP_011508690.1,XP_006711957.1,NP_001274373.1</t>
  </si>
  <si>
    <t>ENST00000423741,ENST00000537457,ENST00000399143</t>
  </si>
  <si>
    <t>ENSP00000403984,ENSP00000382097</t>
  </si>
  <si>
    <t>NM_001184991,NM_001184986</t>
  </si>
  <si>
    <t>NP_001171920.1,NP_001171915.1</t>
  </si>
  <si>
    <t>NM_002290,NM_001105207,NM_001105206</t>
  </si>
  <si>
    <t>NP_002281.3,NP_001098677.2,NP_001098676.2</t>
  </si>
  <si>
    <t>ENST00000328195,ENST00000520073,ENST00000523358,ENST00000523187,ENST00000518036,ENST00000523994,ENST00000523521,ENST00000521631,ENST00000522808</t>
  </si>
  <si>
    <t>ENSP00000333551,ENSP00000427778,ENSP00000427886,ENSP00000428005,ENSP00000429425</t>
  </si>
  <si>
    <t>NM_182472,NM_004439</t>
  </si>
  <si>
    <t>NP_872272.2,NP_004430.4</t>
  </si>
  <si>
    <t>ENST00000273854,ENST00000432638,ENST00000354839,ENST00000511294,ENST00000613740,ENST00000622150</t>
  </si>
  <si>
    <t>ENSP00000273854,ENSP00000389208,ENSP00000346899,ENSP00000427638,ENSP00000478537,ENSP00000480763</t>
  </si>
  <si>
    <t>NM_181351,NM_000615,NM_001242607</t>
  </si>
  <si>
    <t>NP_851996.2,NP_000606.3,NP_001229536.1</t>
  </si>
  <si>
    <t>ENST00000619839,ENST00000401611,ENST00000621128,ENST00000613217,ENST00000316851,ENST00000617166,ENST00000620046,ENST00000531044,ENST00000529356,ENST00000615525,ENST00000621850,ENST00000525973,ENST00000611284,ENST00000534046,ENST00000530543,ENST00000526322,ENST00000531817,ENST00000533073,ENST00000528590,ENST00000525355,ENST00000525691,ENST00000534516,ENST00000524916,ENST00000530090,ENST00000528158,ENST00000533226,ENST00000618266,ENST00000615112,ENST00000621518,ENST00000615285</t>
  </si>
  <si>
    <t>ENSP00000480132,ENSP00000384055,ENSP00000481083,ENSP00000479353,ENSP00000318472,ENSP00000482852,ENSP00000484943,ENSP00000482205,ENSP00000480774,ENSP00000484481,ENSP00000479687,ENSP00000475074,ENSP00000486406,ENSP00000480269,ENSP00000478072,ENSP00000486241,ENSP00000477835,ENSP00000480797,ENSP00000477808,ENSP00000479241</t>
  </si>
  <si>
    <t>NM_147783,NM_147782,NM_147781,NM_147780,NM_001908</t>
  </si>
  <si>
    <t>NP_680093.1,NP_680092.1,NP_680091.1,NP_680090.1,NP_001899.1</t>
  </si>
  <si>
    <t>ENST00000526481,ENST00000353047,ENST00000420692,ENST00000530640,ENST00000531089,ENST00000453527,ENST00000531551,ENST00000345125,ENST00000533455,ENST00000534510,ENST00000530624,ENST00000532409,ENST00000530290,ENST00000533110,ENST00000534636,ENST00000533572,ENST00000530296,ENST00000525076,ENST00000526195,ENST00000527243,ENST00000534149,ENST00000526645,ENST00000525315,ENST00000532370,ENST00000505496,ENST00000524500,ENST00000531502,ENST00000532656,ENST00000534382,ENST00000527215,ENST00000528965,ENST00000524654,ENST00000532392</t>
  </si>
  <si>
    <t>ENSP00000473301,ENSP00000345672,ENSP00000435105,ENSP00000433215,ENSP00000409917,ENSP00000436456,ENSP00000342070,ENSP00000432244,ENSP00000434217,ENSP00000436159,ENSP00000433995,ENSP00000435074,ENSP00000436627,ENSP00000434725,ENSP00000436122,ENSP00000431518,ENSP00000435650,ENSP00000436074,ENSP00000435886,ENSP00000431143,ENSP00000435260,ENSP00000433379,ENSP00000433929,ENSP00000432077,ENSP00000432408</t>
  </si>
  <si>
    <t>Homo sapiens peptidyl arginine deiminase, type II (PADI2)</t>
  </si>
  <si>
    <t>ENST00000375486,ENST00000479534,ENST00000466151,ENST00000375481</t>
  </si>
  <si>
    <t>ENSP00000364635,ENSP00000364630</t>
  </si>
  <si>
    <t>NM_007199,NM_001142523</t>
  </si>
  <si>
    <t>NP_009130.2,NP_001135995.1</t>
  </si>
  <si>
    <t>ENST00000261233,ENST00000545837,ENST00000457197</t>
  </si>
  <si>
    <t>ENSP00000261233,ENSP00000441321,ENSP00000409852</t>
  </si>
  <si>
    <t>NM_001105528,NM_198995</t>
  </si>
  <si>
    <t>NP_001098998.1,NP_945346.2</t>
  </si>
  <si>
    <t>ENST00000581852,ENST00000581524,ENST00000383096,ENST00000300227,ENST00000579916,ENST00000583930,ENST00000579947,ENST00000577268,ENST00000399177,ENST00000577766,ENST00000583550,ENST00000403303,ENST00000406524</t>
  </si>
  <si>
    <t>ENSP00000464295,ENSP00000462651,ENSP00000372576,ENSP00000300227,ENSP00000462153,ENSP00000463254,ENSP00000462370,ENSP00000382130,ENSP00000463236,ENSP00000385591,ENSP00000385867</t>
  </si>
  <si>
    <t>ENST00000633051,ENST00000612491</t>
  </si>
  <si>
    <t>ENSP00000488242,ENSP00000484027</t>
  </si>
  <si>
    <t>ENST00000486442,ENST00000489446,ENST00000288548,ENST00000471654</t>
  </si>
  <si>
    <t>ENSP00000420659,ENSP00000288548</t>
  </si>
  <si>
    <t>ENST00000468221,ENST00000233202,ENST00000473367,ENST00000465984,ENST00000539932,ENST00000354352,ENST00000481524,ENST00000494322,ENST00000471875,ENST00000469799,ENST00000492413,ENST00000475225,ENST00000469449,ENST00000483487,ENST00000460592,ENST00000490872,ENST00000490536,ENST00000468721</t>
  </si>
  <si>
    <t>ENSP00000233202,ENSP00000484905,ENSP00000443435,ENSP00000346320,ENSP00000483970</t>
  </si>
  <si>
    <t>NM_001001329,NM_002743</t>
  </si>
  <si>
    <t>NP_001001329.1,NP_002734.2</t>
  </si>
  <si>
    <t>ENST00000591462,ENST00000591946,ENST00000589126,ENST00000588269,ENST00000587509,ENST00000593104,ENST00000593053,ENST00000592741,ENST00000593101,ENST00000587327,ENST00000589838,ENST00000589990,ENST00000585325,ENST00000592445,ENST00000585540,ENST00000586486,ENST00000587290,ENST00000590098,ENST00000592435,ENST00000591510</t>
  </si>
  <si>
    <t>ENSP00000465489,ENSP00000464835,ENSP00000467566,ENSP00000465889,ENSP00000465821,ENSP00000466134,ENSP00000465047,ENSP00000466012,ENSP00000465461,ENSP00000465948</t>
  </si>
  <si>
    <t>ENST00000269391,ENST00000589912,ENST00000319945,ENST00000589317,ENST00000591355,ENST00000592869,ENST00000593155,ENST00000591615,ENST00000592271</t>
  </si>
  <si>
    <t>ENSP00000269391,ENSP00000321837,ENSP00000468099,ENSP00000467096,ENSP00000465543</t>
  </si>
  <si>
    <t>NM_138338,NM_001018052,NM_001018050</t>
  </si>
  <si>
    <t>NP_612211.1,NP_001018062.1,NP_001018060.1</t>
  </si>
  <si>
    <t>ENST00000355209,ENST00000337566,ENST00000431534,ENST00000432789,ENST00000407461,ENST00000442616,ENST00000420561,ENST00000483837,ENST00000396504</t>
  </si>
  <si>
    <t>ENSP00000347345,ENSP00000337627,ENSP00000395674,ENSP00000415053,ENSP00000385315,ENSP00000408083,ENSP00000379761</t>
  </si>
  <si>
    <t>ENST00000543436,ENST00000495442,ENST00000495709,ENST00000318602,ENST00000545828,ENST00000542567,ENST00000462568,ENST00000546069,ENST00000472360,ENST00000539638,ENST00000404455,ENST00000467091,ENST00000497324</t>
  </si>
  <si>
    <t>ENSP00000323929,ENSP00000438599,ENSP00000445717,ENSP00000385710</t>
  </si>
  <si>
    <t>Homo sapiens zinc finger, DHHC-type containing 22 (ZDHHC22)</t>
  </si>
  <si>
    <t>ENST00000319374,ENST00000555389,ENST00000555327</t>
  </si>
  <si>
    <t>ENSP00000318222,ENSP00000451337,ENSP00000450478</t>
  </si>
  <si>
    <t>NM_001145648,NM_002891,NM_153815</t>
  </si>
  <si>
    <t>NP_001139120.1,NP_002882.3,NP_722522.1</t>
  </si>
  <si>
    <t>ENST00000558480,ENST00000419573,ENST00000394745,ENST00000559926,ENST00000560334,ENST00000623620,ENST00000560286,ENST00000560943,ENST00000561112</t>
  </si>
  <si>
    <t>ENSP00000452781,ENSP00000405963,ENSP00000378228</t>
  </si>
  <si>
    <t>ENST00000542601,ENST00000222271,ENST00000425807,ENST00000612179</t>
  </si>
  <si>
    <t>ENSP00000439156,ENSP00000222271,ENSP00000403792</t>
  </si>
  <si>
    <t>NM_003994,NM_000899</t>
  </si>
  <si>
    <t>NP_003985.2,NP_000890.1</t>
  </si>
  <si>
    <t>ENST00000378535,ENST00000228280,ENST00000347404,ENST00000357116,ENST00000552044,ENST00000613305</t>
  </si>
  <si>
    <t>ENSP00000228280,ENSP00000054216,ENSP00000474021,ENSP00000475042,ENSP00000479271</t>
  </si>
  <si>
    <t>NM_144586,NM_001077427</t>
  </si>
  <si>
    <t>NP_653187.3,NP_001070895.1</t>
  </si>
  <si>
    <t>ENST00000397463,ENST00000345008,ENST00000449209</t>
  </si>
  <si>
    <t>ENSP00000380605,ENSP00000340563,ENSP00000396651</t>
  </si>
  <si>
    <t>ENST00000326080,ENST00000423554,ENST00000524250,ENST00000517938,ENST00000520581,ENST00000521518,ENST00000524363,ENST00000522825,ENST00000519501,ENST00000519258,ENST00000523997,ENST00000518651,ENST00000520968,ENST00000517448,ENST00000517874,ENST00000520461</t>
  </si>
  <si>
    <t>ENSP00000320604,ENSP00000430286,ENSP00000431084,ENSP00000428992,ENSP00000428834,ENSP00000429004,ENSP00000429837,ENSP00000429876,ENSP00000429406,ENSP00000431015</t>
  </si>
  <si>
    <t>ENST00000369303,ENST00000369297</t>
  </si>
  <si>
    <t>ENSP00000358309,ENSP00000358303</t>
  </si>
  <si>
    <t>ENST00000295984,ENST00000412055,ENST00000411976</t>
  </si>
  <si>
    <t>ENSP00000295984,ENSP00000392511,ENSP00000404512</t>
  </si>
  <si>
    <t>Homo sapiens calmodulin 3 (phosphorylase kinase, delta)</t>
  </si>
  <si>
    <t>ENST00000610551,ENST00000631799,ENST00000633736,ENST00000632947,ENST00000633443,ENST00000633302,ENST00000632895,ENST00000631490,ENST00000633368,ENST00000634129,ENST00000633715</t>
  </si>
  <si>
    <t>ENSP00000479208,ENSP00000488428,ENSP00000488885,ENSP00000487883,ENSP00000488827,ENSP00000488699,ENSP00000488310,ENSP00000487994</t>
  </si>
  <si>
    <t>NM_001040101,NM_014392</t>
  </si>
  <si>
    <t>NP_001035190.1,NP_055207.1</t>
  </si>
  <si>
    <t>ENST00000421177,ENST00000513555,ENST00000450293,ENST00000504347,ENST00000505246,ENST00000506380,ENST00000433139,ENST00000513829,ENST00000504171,ENST00000621129,ENST00000397958</t>
  </si>
  <si>
    <t>ENSP00000388823,ENSP00000426358,ENSP00000421841,ENSP00000425423,ENSP00000408833,ENSP00000425345,ENSP00000425803,ENSP00000480081,ENSP00000381049</t>
  </si>
  <si>
    <t>ENST00000361070,ENST00000571750,ENST00000575154,ENST00000575281,ENST00000572610,ENST00000572337,ENST00000571776,ENST00000575397,ENST00000572990,ENST00000576652,ENST00000575113,ENST00000572840</t>
  </si>
  <si>
    <t>ENSP00000354361,ENSP00000460049,ENSP00000459465,ENSP00000459899,ENSP00000459515,ENSP00000461285</t>
  </si>
  <si>
    <t>NM_001024732,NM_016011</t>
  </si>
  <si>
    <t>NP_001019903.2,NP_057095.3</t>
  </si>
  <si>
    <t>ENST00000373791,ENST00000475773,ENST00000483435,ENST00000263702,ENST00000473030,ENST00000463412,ENST00000453185,ENST00000478505,ENST00000490529,ENST00000464511,ENST00000463052,ENST00000489248,ENST00000475861,ENST00000474946,ENST00000464915,ENST00000482610,ENST00000484012,ENST00000493928</t>
  </si>
  <si>
    <t>ENSP00000362896,ENSP00000263702,ENSP00000436831</t>
  </si>
  <si>
    <t>Homo sapiens DIRAS family, GTP-binding RAS-like 2 (DIRAS2)</t>
  </si>
  <si>
    <t>ENST00000410115,ENST00000329366,ENST00000280097,ENST00000280096,ENST00000475675,ENST00000467390,ENST00000485653,ENST00000480534</t>
  </si>
  <si>
    <t>ENSP00000386940,ENSP00000333259,ENSP00000280097,ENSP00000280096,ENSP00000419415</t>
  </si>
  <si>
    <t>NM_001199165,NM_001037325</t>
  </si>
  <si>
    <t>NP_001186094.1,NP_001032402.1</t>
  </si>
  <si>
    <t>ENST00000333891,ENST00000432078,ENST00000423517,ENST00000426442,ENST00000413807,ENST00000456006,ENST00000437081,ENST00000461143,ENST00000618073</t>
  </si>
  <si>
    <t>ENSP00000334319,ENSP00000388393,ENSP00000404191,ENSP00000397928,ENSP00000393760,ENSP00000482390</t>
  </si>
  <si>
    <t>Homo sapiens protein kinase C, epsilon (PRKCE)</t>
  </si>
  <si>
    <t>ENST00000421201,ENST00000306156,ENST00000462720,ENST00000480453,ENST00000476675,ENST00000467135,ENST00000472021,ENST00000497602,ENST00000485176,ENST00000489067,ENST00000394874,ENST00000469753,ENST00000480633,ENST00000498388,ENST00000494472</t>
  </si>
  <si>
    <t>ENSP00000394574,ENSP00000306124,ENSP00000378341</t>
  </si>
  <si>
    <t>ENST00000264245,ENST00000482743</t>
  </si>
  <si>
    <t>ENSP00000264245,ENSP00000418429</t>
  </si>
  <si>
    <t>NM_004115,NM_175929</t>
  </si>
  <si>
    <t>NP_004106.1,NP_787125.1</t>
  </si>
  <si>
    <t>ENST00000376131,ENST00000376143,ENST00000468052,ENST00000418923</t>
  </si>
  <si>
    <t>ENSP00000365301,ENSP00000365313</t>
  </si>
  <si>
    <t>ENST00000330871,ENST00000587578</t>
  </si>
  <si>
    <t>ENSP00000330341,ENSP00000464727</t>
  </si>
  <si>
    <t>NM_001204963,NM_001204961,NM_002585</t>
  </si>
  <si>
    <t>NP_001191892.1,NP_001191890.1,NP_002576.1</t>
  </si>
  <si>
    <t>ENST00000467023,ENST00000485769,ENST00000340699,ENST00000420696,ENST00000627490,ENST00000498497,ENST00000367897,ENST00000559240,ENST00000605467,ENST00000559578,ENST00000560469,ENST00000496120,ENST00000468104,ENST00000560641,ENST00000474046,ENST00000482110,ENST00000558796,ENST00000558837,ENST00000559560,ENST00000465089,ENST00000612123,ENST00000540236</t>
  </si>
  <si>
    <t>ENSP00000473998,ENSP00000341455,ENSP00000405890,ENSP00000485692,ENSP00000356872,ENSP00000453188,ENSP00000452804,ENSP00000452727,ENSP00000453163,ENSP00000453331,ENSP00000453262,ENSP00000483563,ENSP00000439943</t>
  </si>
  <si>
    <t>ENST00000376810,ENST00000376804,ENST00000486588,ENST00000483738</t>
  </si>
  <si>
    <t>ENSP00000366006,ENSP00000366000,ENSP00000473612,ENSP00000473453</t>
  </si>
  <si>
    <t>ENST00000369880,ENST00000615257</t>
  </si>
  <si>
    <t>ENSP00000358896,ENSP00000479361</t>
  </si>
  <si>
    <t>ENST00000265362,ENST00000436949,ENST00000420047,ENST00000448879,ENST00000424555,ENST00000471474,ENST00000490883</t>
  </si>
  <si>
    <t>ENSP00000265362,ENSP00000415260,ENSP00000391900,ENSP00000402093,ENSP00000404800</t>
  </si>
  <si>
    <t>ENST00000376344,ENST00000314700,ENST00000376340</t>
  </si>
  <si>
    <t>ENSP00000365522,ENSP00000318375,ENSP00000365518</t>
  </si>
  <si>
    <t>NM_001079520,NM_016651,NR_046095,NR_046093</t>
  </si>
  <si>
    <t>NP_001072988.1,NP_057735.2,-,-</t>
  </si>
  <si>
    <t>ENST00000555845,ENST00000556859,ENST00000421793,ENST00000395153,ENST00000335867,ENST00000541264</t>
  </si>
  <si>
    <t>ENSP00000451598,ENSP00000404297,ENSP00000378582,ENSP00000337439,ENSP00000442850</t>
  </si>
  <si>
    <t>Homo sapiens nucleus accumbens associated 1, BEN and BTB (POZ)</t>
  </si>
  <si>
    <t>ENST00000586171,ENST00000292431,ENST00000585663</t>
  </si>
  <si>
    <t>ENSP00000467120,ENSP00000292431,ENSP00000466017</t>
  </si>
  <si>
    <t>Homo sapiens cholinergic receptor, nicotinic, beta 2 (neuronal)</t>
  </si>
  <si>
    <t>ENST00000393977,ENST00000377503,ENST00000257536,ENST00000519673,ENST00000520748,ENST00000518764,ENST00000521643,ENST00000541762</t>
  </si>
  <si>
    <t>ENSP00000377547,ENSP00000257536,ENSP00000427960,ENSP00000428836,ENSP00000446367</t>
  </si>
  <si>
    <t>NM_001024216,NM_017556</t>
  </si>
  <si>
    <t>NP_001019387.1,NP_060026.2</t>
  </si>
  <si>
    <t>ENST00000496928,ENST00000508310,ENST00000510393,ENST00000430076,ENST00000375771,ENST00000510929,ENST00000502638,ENST00000375766,ENST00000483633,ENST00000502739,ENST00000431771,ENST00000441801,ENST00000332305,ENST00000514156,ENST00000509138</t>
  </si>
  <si>
    <t>ENSP00000422862,ENSP00000423471,ENSP00000421885,ENSP00000387595,ENSP00000364926,ENSP00000421764,ENSP00000422075,ENSP00000364921,ENSP00000427052,ENSP00000424920,ENSP00000402401,ENSP00000416387,ENSP00000364920</t>
  </si>
  <si>
    <t>Homo sapiens ATP synthase, H+ transporting, mitochondrial F1 complex, epsilon subunit (ATP5E)|Homo sapiens SLMO2-ATP5E readthrough (SLMO2-ATP5E)|Homo sapiens ATP synthase, H+ transporting, mitochondrial F1 complex, epsilon subunit pseudogene 2 (ATP5EP2)</t>
  </si>
  <si>
    <t>NM_006886|NR_037930,NR_037929|NR_002162</t>
  </si>
  <si>
    <t>NP_008817.1|-,-|-</t>
  </si>
  <si>
    <t>NM_001048223,NM_001048221,NM_018478,NM_001197140,NM_001197139,NM_001048224,NM_001048226,NM_001048225,NM_001048222|NR_003189</t>
  </si>
  <si>
    <t>NP_001041688.1,NP_001041686.1,NP_060948.3,NP_001184069.1,NP_001184068.1,NP_001041689.1,NP_001041691.2,NP_001041690.2,NP_001041687.1|-</t>
  </si>
  <si>
    <t>ENST00000372723,ENST00000372722,ENST00000357275,ENST00000372720,ENST00000372717,ENST00000360981,ENST00000372712,ENST00000372710,ENST00000443296</t>
  </si>
  <si>
    <t>ENSP00000361808,ENSP00000361807,ENSP00000349822,ENSP00000361805,ENSP00000361802,ENSP00000354250,ENSP00000361797,ENSP00000361795,ENSP00000414161</t>
  </si>
  <si>
    <t>NM_001130716,NM_016619</t>
  </si>
  <si>
    <t>NP_001124188.1,NP_057703.1</t>
  </si>
  <si>
    <t>ENST00000250498,ENST00000489532,ENST00000535847,ENST00000538631,ENST00000543337</t>
  </si>
  <si>
    <t>ENSP00000250498,ENSP00000442074,ENSP00000440242,ENSP00000440821</t>
  </si>
  <si>
    <t>NM_022808,NM_022807,NM_022806,NM_022805,NM_003097|NM_022804,NM_005678</t>
  </si>
  <si>
    <t>NP_073719.1,NP_073718.1,NP_073717.1,NP_073716.1,NP_003088.1|NP_073715.1,NP_005669.2</t>
  </si>
  <si>
    <t>ENST00000400100,ENST00000400097,ENST00000553597,ENST00000390687,ENST00000584968,ENST00000346403,ENST00000554227,ENST00000579070,ENST00000577565,ENST00000400098|ENST00000577949,ENST00000580062,ENST00000338327</t>
  </si>
  <si>
    <t>ENSP00000382972,ENSP00000382969,ENSP00000375105,ENSP00000462211,ENSP00000306223,ENSP00000452342,ENSP00000463510,ENSP00000463458,ENSP00000382970|ENSP00000463201,ENSP00000463396,ENSP00000342152</t>
  </si>
  <si>
    <t>Homo sapiens keratin 16, type I (KRT16)</t>
  </si>
  <si>
    <t>ENST00000301653,ENST00000593067,ENST00000588319,ENST00000590990</t>
  </si>
  <si>
    <t>ENSP00000301653,ENSP00000467124,ENSP00000467105</t>
  </si>
  <si>
    <t>Homo sapiens metallothionein 1I, pseudogene (MT1IP)|Homo sapiens metallothionein 1X (MT1X)|Homo sapiens metallothionein 1E (MT1E)|Homo sapiens metallothionein 1A (MT1A)|Homo sapiens metallothionein 2A (MT2A)|Homo sapiens metallothionein 1B (MT1B)|Homo sapiens metallothionein 1L (gene/pseudogene)|Homo sapiens metallothionein 1H (MT1H)</t>
  </si>
  <si>
    <t>ENST00000394485,ENST00000562939,ENST00000568370,ENST00000564974|ENST00000306061,ENST00000568293,ENST00000330439|ENST00000290705,ENST00000622334|ENST00000245185,ENST00000563985,ENST00000562017,ENST00000561491,ENST00000567300|ENST00000334346,ENST00000562399|ENST00000565768,ENST00000566367|ENST00000332374,ENST00000569155</t>
  </si>
  <si>
    <t>ENSP00000377995,ENSP00000475791,ENSP00000475537|ENSP00000307706,ENSP00000457516,ENSP00000328137|ENSP00000290705,ENSP00000478425|ENSP00000245185,ENSP00000456804|ENSP00000334998,ENSP00000456056||ENSP00000330587,ENSP00000457114</t>
  </si>
  <si>
    <t>NR_073029,NM_006327</t>
  </si>
  <si>
    <t>-,NP_006318.1</t>
  </si>
  <si>
    <t>NM_012459,NR_028383</t>
  </si>
  <si>
    <t>NP_036591.2,-</t>
  </si>
  <si>
    <t>ENST00000504148,ENST00000509359,ENST00000507614,ENST00000541231</t>
  </si>
  <si>
    <t>ENSP00000422122,ENSP00000421964,ENSP00000438455</t>
  </si>
  <si>
    <t>NM_032965|NR_027922,NR_027921</t>
  </si>
  <si>
    <t>NP_116741.2|-,-</t>
  </si>
  <si>
    <t>ENST00000614368,ENST00000617897</t>
  </si>
  <si>
    <t>ENSP00000484262,ENSP00000484078</t>
  </si>
  <si>
    <t>ENST00000324472,ENST00000541911,ENST00000413230,ENST00000439061,ENST00000306389,ENST00000541083,ENST00000536494,ENST00000538147,ENST00000542209|ENST00000497063,ENST00000479881</t>
  </si>
  <si>
    <t>ENSP00000315988,ENSP00000437474,ENSP00000445878,ENSP00000443126,ENSP00000439567,ENSP00000444932|</t>
  </si>
  <si>
    <t>Homo sapiens olfactory receptor, family 9, subfamily G, member 1 (OR9G1)|Homo sapiens olfactory receptor, family 9, subfamily G, member 9 (OR9G9)</t>
  </si>
  <si>
    <t>NM_178044,NM_024044|NM_001015000,NM_001014999</t>
  </si>
  <si>
    <t>NP_835145.1,NP_076949.1|NP_001015000.1,NP_001014999.1</t>
  </si>
  <si>
    <t>ENST00000566424|ENST00000565081,ENST00000345535,ENST00000251303,ENST00000563995,ENST00000564268,ENST00000563616</t>
  </si>
  <si>
    <t>|ENSP00000333945,ENSP00000251303,ENSP00000455250</t>
  </si>
  <si>
    <t>ENST00000569282,ENST00000567436,ENST00000565525,ENST00000305321|ENST00000330978</t>
  </si>
  <si>
    <t>ENSP00000455468,ENSP00000457995,ENSP00000306752|ENSP00000331127</t>
  </si>
  <si>
    <t>ENST00000630062,ENST00000547114,ENST00000625301,ENST00000556529</t>
  </si>
  <si>
    <t>ENST00000397299,ENST00000408047,ENST00000431823,ENST00000405106,ENST00000562035,ENST00000478178</t>
  </si>
  <si>
    <t>ENSP00000380467,ENSP00000384174,ENSP00000399600</t>
  </si>
  <si>
    <t>Homo sapiens neuroligin 4, Y-linked (NLGN4Y)</t>
  </si>
  <si>
    <t>ENST00000471252,ENST00000382872,ENST00000355905,ENST00000382868,ENST00000476359,ENST00000481089,ENST00000339174,ENST00000413217,ENST00000297967</t>
  </si>
  <si>
    <t>ENSP00000372325,ENSP00000348169,ENSP00000372320,ENSP00000342535,ENSP00000412638,ENSP00000297967</t>
  </si>
  <si>
    <t>ENST00000233615,ENST00000393972,ENST00000474185,ENST00000466835,ENST00000464774,ENST00000470536,ENST00000484744,ENST00000409737,ENST00000428943,ENST00000494741,ENST00000473467,ENST00000466303,ENST00000492047,ENST00000490120</t>
  </si>
  <si>
    <t>ENSP00000233615,ENSP00000377542,ENSP00000386812,ENSP00000408816</t>
  </si>
  <si>
    <t>ENST00000479126,ENST00000438607,ENST00000477624</t>
  </si>
  <si>
    <t>ENST00000538782,ENST00000238651,ENST00000613168,ENST00000557857,ENST00000622407</t>
  </si>
  <si>
    <t>ENSP00000440961,ENSP00000238651,ENSP00000477685,ENSP00000483704</t>
  </si>
  <si>
    <t>Homo sapiens histone cluster 1, H2am (HIST1H2AM)</t>
  </si>
  <si>
    <t>ENST00000487646,ENST00000375855,ENST00000478686,ENST00000375854,ENST00000618633</t>
  </si>
  <si>
    <t>ENSP00000365015,ENSP00000365014,ENSP00000480855</t>
  </si>
  <si>
    <t>Homo sapiens zinc finger, MYM-type 3 (ZMYM3)</t>
  </si>
  <si>
    <t>ENST00000314425,ENST00000373998,ENST00000489332,ENST00000373984,ENST00000373988,ENST00000470832,ENST00000373982,ENST00000373981,ENST00000373978</t>
  </si>
  <si>
    <t>ENSP00000322845,ENSP00000363110,ENSP00000363096,ENSP00000363100,ENSP00000363094,ENSP00000363093,ENSP00000363090</t>
  </si>
  <si>
    <t>ENST00000427969,ENST00000450538,ENST00000389574,ENST00000435699,ENST00000440380,ENST00000439679,ENST00000424128,ENST00000457598,ENST00000421580,ENST00000340926,ENST00000405266,ENST00000413171,ENST00000401592,ENST00000403868,ENST00000467483,ENST00000483996,ENST00000469755,ENST00000450881,ENST00000493681,ENST00000477950,ENST00000471349,ENST00000419312,ENST00000429178,ENST00000433212,ENST00000464442,ENST00000480475,ENST00000488628,ENST00000463848,ENST00000457861,ENST00000459810,ENST00000475971,ENST00000497943,ENST00000457378,ENST00000452783,ENST00000425407</t>
  </si>
  <si>
    <t>ENSP00000374225,ENSP00000388430,ENSP00000399549,ENSP00000413188,ENSP00000394597,ENSP00000404965,ENSP00000394381,ENSP00000384116,ENSP00000384015,ENSP00000383947,ENSP00000392595,ENSP00000414279,ENSP00000409909,ENSP00000406653,ENSP00000406444,ENSP00000395952,ENSP00000413439,ENSP00000392309</t>
  </si>
  <si>
    <t>ENST00000375180,ENST00000328235,ENST00000497680,ENST00000477084</t>
  </si>
  <si>
    <t>ENSP00000364324,ENSP00000329896,ENSP00000420718</t>
  </si>
  <si>
    <t>ENST00000492620,ENST00000368433,ENST00000315144,ENST00000368432,ENST00000368431,ENST00000292180,ENST00000487371,ENST00000295530,ENST00000368428,ENST00000489992,ENST00000477609,ENST00000481758</t>
  </si>
  <si>
    <t>ENSP00000357418,ENSP00000317296,ENSP00000357417,ENSP00000357416,ENSP00000292180,ENSP00000295530,ENSP00000357413</t>
  </si>
  <si>
    <t>Homo sapiens endogenous retrovirus group V, member 1 (ERVV-1)</t>
  </si>
  <si>
    <t>ENST00000562840,ENST00000564821,ENST00000618912,ENST00000565212,ENST00000253461,ENST00000567970,ENST00000618367</t>
  </si>
  <si>
    <t>ENSP00000253461,ENSP00000455079,ENSP00000484646</t>
  </si>
  <si>
    <t>Homo sapiens protease, serine, 56 (PRSS56)</t>
  </si>
  <si>
    <t>ENST00000449534,ENST00000602410,ENST00000617714</t>
  </si>
  <si>
    <t>ENSP00000473410,ENSP00000479745</t>
  </si>
  <si>
    <t>Homo sapiens transforming growth factor, beta receptor III-like (TGFBR3L)</t>
  </si>
  <si>
    <t>ENST00000565886,ENST00000564348,ENST00000566166</t>
  </si>
  <si>
    <t>Homo sapiens butyrophilin, subfamily 2, member A1 (BTN2A1)</t>
  </si>
  <si>
    <t>ENST00000377600,ENST00000312541,ENST00000493173,ENST00000429381,ENST00000469185,ENST00000480218,ENST00000541522</t>
  </si>
  <si>
    <t>ENSP00000366825,ENSP00000312158,ENSP00000420447,ENSP00000416945,ENSP00000419043,ENSP00000418936,ENSP00000443909</t>
  </si>
  <si>
    <t>ENST00000475108,ENST00000371065,ENST00000497874,ENST00000488747,ENST00000484243,ENST00000613538</t>
  </si>
  <si>
    <t>ENSP00000360104,ENSP00000483521</t>
  </si>
  <si>
    <t>Homo sapiens pyruvate dehydrogenase kinase, isozyme 2 (PDK2)</t>
  </si>
  <si>
    <t>ENST00000007708,ENST00000508030,ENST00000503176,ENST00000503614,ENST00000508960,ENST00000505897,ENST00000505440,ENST00000511026,ENST00000512238,ENST00000515040,ENST00000510219,ENST00000506242,ENST00000503076,ENST00000512204,ENST00000506647,ENST00000614357</t>
  </si>
  <si>
    <t>ENSP00000007708,ENSP00000427682,ENSP00000420927,ENSP00000425265,ENSP00000425615,ENSP00000421178,ENSP00000423310,ENSP00000481915</t>
  </si>
  <si>
    <t>ENST00000344700,ENST00000464218,ENST00000467531,ENST00000494077,ENST00000326199,ENST00000480942,ENST00000621356</t>
  </si>
  <si>
    <t>ENSP00000363169,ENSP00000347271,ENSP00000481646</t>
  </si>
  <si>
    <t>ENST00000304434,ENST00000485336,ENST00000465983,ENST00000486973,ENST00000370913,ENST00000370918,ENST00000542638</t>
  </si>
  <si>
    <t>ENSP00000306640,ENSP00000359951,ENSP00000359956,ENSP00000440728</t>
  </si>
  <si>
    <t>ENST00000304621,ENST00000584250,ENST00000317571,ENST00000578150,ENST00000577185,ENST00000540918,ENST00000579214,ENST00000581394,ENST00000584424,ENST00000584095</t>
  </si>
  <si>
    <t>ENSP00000306598,ENSP00000464344,ENSP00000323645,ENSP00000463610,ENSP00000443016,ENSP00000463283</t>
  </si>
  <si>
    <t>ENST00000497035,ENST00000396651,ENST00000372209,ENST00000470475,ENST00000485390,ENST00000464658,ENST00000484599,ENST00000474582</t>
  </si>
  <si>
    <t>ENSP00000379888,ENSP00000361283</t>
  </si>
  <si>
    <t>Homo sapiens family with sequence similarity 207, member A (FAM207A)</t>
  </si>
  <si>
    <t>ENST00000291634,ENST00000397826,ENST00000458015,ENST00000479127,ENST00000485207</t>
  </si>
  <si>
    <t>ENSP00000291634,ENSP00000380926,ENSP00000404964</t>
  </si>
  <si>
    <t>ENST00000368884,ENST00000368881,ENST00000461434,ENST00000462970,ENST00000476855,ENST00000437736,ENST00000469786,ENST00000445776,ENST00000491857,ENST00000427779,ENST00000470396,ENST00000453615</t>
  </si>
  <si>
    <t>ENSP00000357879,ENSP00000357876,ENSP00000414499,ENSP00000388089,ENSP00000406408,ENSP00000396633</t>
  </si>
  <si>
    <t>ENST00000229239,ENST00000496049,ENST00000396856,ENST00000492719,ENST00000396861,ENST00000474249,ENST00000466588,ENST00000396859,ENST00000466525,ENST00000396858,ENST00000619601</t>
  </si>
  <si>
    <t>ENSP00000229239,ENSP00000380065,ENSP00000380070,ENSP00000380068,ENSP00000380067,ENSP00000478864</t>
  </si>
  <si>
    <t>NM_001243131,NM_001243130,NM_033251,NM_000977</t>
  </si>
  <si>
    <t>NP_001230060.1,NP_001230059.1,NP_150254.1,NP_000968.2</t>
  </si>
  <si>
    <t>Homo sapiens membrane-spanning 4-domains, subfamily A, member 7 (MS4A7)</t>
  </si>
  <si>
    <t>NM_206940,NM_206939,NM_206938,NM_021201</t>
  </si>
  <si>
    <t>NP_996823.1,NP_996822.1,NP_996821.1,NP_067024.1</t>
  </si>
  <si>
    <t>ENST00000300184,ENST00000534016,ENST00000530614,ENST00000530027,ENST00000528808,ENST00000530234,ENST00000528500,ENST00000528215,ENST00000534310,ENST00000528587,ENST00000533849,ENST00000358246</t>
  </si>
  <si>
    <t>ENSP00000300184,ENSP00000434637,ENSP00000433861,ENSP00000434819,ENSP00000433184,ENSP00000431408,ENSP00000350983</t>
  </si>
  <si>
    <t>ENST00000318006,ENST00000614932,ENST00000562258,ENST00000564994,ENST00000348544,ENST00000568755,ENST00000562662,ENST00000561818,ENST00000561797,ENST00000563692,ENST00000568029,ENST00000570023,ENST00000570062,ENST00000568357</t>
  </si>
  <si>
    <t>ENSP00000326534,ENSP00000457325,ENSP00000335193</t>
  </si>
  <si>
    <t>NM_153631,NM_030661</t>
  </si>
  <si>
    <t>NP_705895.1,NP_109377.1</t>
  </si>
  <si>
    <t>ENST00000396352,ENST00000317201,ENST00000522788,ENST00000522456,ENST00000521401,ENST00000518451,ENST00000612286</t>
  </si>
  <si>
    <t>ENSP00000379640,ENSP00000324884,ENSP00000429426,ENSP00000430566,ENSP00000484411</t>
  </si>
  <si>
    <t>NM_001195396,NM_005738,NM_001037164,NM_212460</t>
  </si>
  <si>
    <t>NP_001182325.1,NP_005729.1,NP_001032241.1,NP_997625.1</t>
  </si>
  <si>
    <t>ENST00000396662,ENST00000356797,ENST00000396664,ENST00000439721,ENST00000404894,ENST00000396663</t>
  </si>
  <si>
    <t>ENSP00000379897,ENSP00000349250,ENSP00000379899,ENSP00000397651,ENSP00000385236,ENSP00000379898</t>
  </si>
  <si>
    <t>ENST00000398884,ENST00000398881</t>
  </si>
  <si>
    <t>ENSP00000381859,ENSP00000381856</t>
  </si>
  <si>
    <t>ENSP00000217515,ENSP00000464918,ENSP00000467317,ENSP00000466473,ENSP00000468165,ENSP00000466558,ENSP00000465606</t>
  </si>
  <si>
    <t>ENST00000358220,ENST00000381329,ENST00000263150,ENST00000436154,ENST00000482165,ENST00000620998</t>
  </si>
  <si>
    <t>ENSP00000350954,ENSP00000370730,ENSP00000263150,ENSP00000404346,ENSP00000478057</t>
  </si>
  <si>
    <t>ENST00000379011,ENST00000531145</t>
  </si>
  <si>
    <t>ENSP00000368296,ENSP00000433460</t>
  </si>
  <si>
    <t>ENSP00000254488,ENSP00000404120</t>
  </si>
  <si>
    <t>NM_001144892,NM_001257212,NM_001257211,NM_001257210,NM_001257209,NM_001257208,NM_001257207,NM_001257206,NM_001257205,NM_033136,NM_000800,NM_033137,NM_001144935,NM_001144934</t>
  </si>
  <si>
    <t>NP_001138364.1,NP_001244141.1,NP_001244140.1,NP_001244139.1,NP_001244138.1,NP_001244137.1,NP_001244136.1,NP_001244135.1,NP_001244134.1,NP_149127.1,NP_000791.1,NP_149128.1,NP_001138407.1,NP_001138406.1</t>
  </si>
  <si>
    <t>ENST00000359370,ENST00000378046,ENST00000337706,ENST00000360966,ENST00000489937,ENST00000407758,ENST00000494344,ENST00000441680,ENST00000419524,ENST00000494579,ENST00000394496,ENST00000411960,ENST00000621536,ENST00000619447,ENST00000610990,ENST00000612258</t>
  </si>
  <si>
    <t>ENSP00000352329,ENSP00000367285,ENSP00000338548,ENSP00000354231,ENSP00000383969,ENSP00000404742,ENSP00000396195,ENSP00000378005,ENSP00000399458,ENSP00000480791,ENSP00000480980,ENSP00000481868,ENSP00000479024</t>
  </si>
  <si>
    <t>ENSP00000345023,ENSP00000358721,ENSP00000390986</t>
  </si>
  <si>
    <t>NM_001242766,NM_001242764,NM_001242763,NM_001242762,NM_001003809,NM_004746</t>
  </si>
  <si>
    <t>NP_001229695.1,NP_001229693.1,NP_001229692.1,NP_001229691.1,NP_001003809.1,NP_004737.2</t>
  </si>
  <si>
    <t>ENST00000400147,ENST00000400149,ENST00000400155,ENST00000400150,ENST00000315677,ENST00000534970,ENST00000539435,ENST00000581699,ENST00000400145,ENST00000581527,ENST00000485480,ENST00000498188,ENST00000478161,ENST00000486430,ENST00000484845,ENST00000581550,ENST00000582051,ENST00000578250,ENST00000577430,ENST00000579652,ENST00000584874,ENST00000515196</t>
  </si>
  <si>
    <t>ENSP00000383011,ENSP00000383013,ENSP00000383019,ENSP00000383014,ENSP00000316377,ENSP00000437817,ENSP00000446312,ENSP00000462848,ENSP00000383010,ENSP00000463864,ENSP00000462882,ENSP00000445973</t>
  </si>
  <si>
    <t>ENST00000374027,ENST00000374030,ENST00000374025</t>
  </si>
  <si>
    <t>ENSP00000363139,ENSP00000363142</t>
  </si>
  <si>
    <t>ENST00000376355,ENST00000376354,ENST00000339105,ENST00000416504,ENST00000443887,ENST00000419700,ENST00000425186</t>
  </si>
  <si>
    <t>ENSP00000365533,ENSP00000365532,ENSP00000342991,ENSP00000403408,ENSP00000401586,ENSP00000396574,ENSP00000389062</t>
  </si>
  <si>
    <t>NM_001099432,NM_017679</t>
  </si>
  <si>
    <t>NP_001092902.1,NP_060149.3</t>
  </si>
  <si>
    <t>ENST00000588168,ENST00000591147,ENST00000589222,ENST00000591371,ENST00000593004,ENST00000589916,ENST00000407086,ENST00000588532,ENST00000592848,ENST00000390652,ENST00000592393,ENST00000586241,ENST00000588462,ENST00000408905,ENST00000586705,ENST00000585744,ENST00000588874,ENST00000590128,ENST00000586484,ENST00000586041,ENST00000590352,ENST00000587037,ENST00000585979,ENST00000592827,ENST00000587002,ENST00000588008,ENST00000585812,ENST00000587294,ENST00000592702,ENST00000588569,ENST00000587872,ENST00000588720,ENST00000626960,ENST00000613443,ENST00000614888</t>
  </si>
  <si>
    <t>ENSP00000465328,ENSP00000466075,ENSP00000466078,ENSP00000385323,ENSP00000465441,ENSP00000467743,ENSP00000375067,ENSP00000464864,ENSP00000468592,ENSP00000386173,ENSP00000465539,ENSP00000468682,ENSP00000464825,ENSP00000465175,ENSP00000466552,ENSP00000464711,ENSP00000486318,ENSP00000485015,ENSP00000484605</t>
  </si>
  <si>
    <t>NM_001256917,NM_001195124,NM_001195125</t>
  </si>
  <si>
    <t>NP_001243846.1,NP_001182053.1,NP_001182054.1</t>
  </si>
  <si>
    <t>Homo sapiens potassium channel, voltage gated subfamily A regulatory beta subunit 2 (KCNAB2)</t>
  </si>
  <si>
    <t>NM_001199863,NM_001199862,NM_001199861,NM_001199860,NM_172130,NM_003636</t>
  </si>
  <si>
    <t>NP_001186792.1,NP_001186791.1,NP_001186790.1,NP_001186789.1,NP_742128.1,NP_003627.1</t>
  </si>
  <si>
    <t>ENST00000378111,ENST00000378097,ENST00000493807,ENST00000378092,ENST00000478098,ENST00000445501,ENST00000389632,ENST00000428161,ENST00000602612,ENST00000435937,ENST00000164247,ENST00000459822,ENST00000472700,ENST00000378083,ENST00000458166,ENST00000462676,ENST00000481789,ENST00000352527,ENST00000341524</t>
  </si>
  <si>
    <t>ENSP00000367351,ENSP00000367337,ENSP00000367332,ENSP00000398395,ENSP00000374283,ENSP00000400285,ENSP00000473602,ENSP00000164247,ENSP00000464860,ENSP00000367323,ENSP00000396167,ENSP00000465785,ENSP00000318772,ENSP00000340824</t>
  </si>
  <si>
    <t>ENST00000239666,ENST00000374454,ENST00000473667,ENST00000486461</t>
  </si>
  <si>
    <t>ENSP00000239666,ENSP00000363578</t>
  </si>
  <si>
    <t>NM_153483,NM_001193380,NM_153480</t>
  </si>
  <si>
    <t>NP_705616.2,NP_001180309.1,NP_705613.1</t>
  </si>
  <si>
    <t>ENST00000461534,ENST00000421412,ENST00000383814,ENST00000489181,ENST00000444427,ENST00000434065,ENST00000454190,ENST00000383815,ENST00000454992,ENST00000483258,ENST00000480244</t>
  </si>
  <si>
    <t>ENSP00000404916,ENSP00000373325,ENSP00000406076,ENSP00000415701,ENSP00000388086,ENSP00000373326,ENSP00000400768</t>
  </si>
  <si>
    <t>NM_001205251,NM_001205250,NM_001205247,NM_001009185,NM_015256,NM_001205248</t>
  </si>
  <si>
    <t>NP_001192180.1,NP_001192179.1,NP_001192176.1,NP_001009185.1,NP_056071.2,NP_001192177.1</t>
  </si>
  <si>
    <t>ENST00000379264,ENST00000379255,ENST00000296869,ENST00000493861,ENST00000379246,ENST00000379244,ENST00000379240,ENST00000431707,ENST00000492156,ENST00000484870,ENST00000434099,ENST00000489047,ENST00000430403,ENST00000419502,ENST00000416557,ENST00000414078,ENST00000441995,ENST00000477640,ENST00000469164,ENST00000357096,ENST00000543479</t>
  </si>
  <si>
    <t>ENSP00000368566,ENSP00000368557,ENSP00000296869,ENSP00000368548,ENSP00000368546,ENSP00000368542,ENSP00000413329,ENSP00000397507,ENSP00000398423,ENSP00000388424,ENSP00000398381,ENSP00000394810,ENSP00000389189,ENSP00000349608,ENSP00000442124</t>
  </si>
  <si>
    <t>Homo sapiens transient receptor potential cation channel, subfamily C, member 1 (TRPC1)</t>
  </si>
  <si>
    <t>NM_001251845,NM_003304</t>
  </si>
  <si>
    <t>NP_001238774.1,NP_003295.1</t>
  </si>
  <si>
    <t>ENST00000476941,ENST00000273482,ENST00000460401,ENST00000480101,ENST00000612385</t>
  </si>
  <si>
    <t>ENSP00000419313,ENSP00000273482,ENSP00000418708,ENSP00000481537</t>
  </si>
  <si>
    <t>Homo sapiens family with sequence similarity 26, member D (FAM26D)</t>
  </si>
  <si>
    <t>NM_001256888,NM_001256887,NM_001256889,NM_153036</t>
  </si>
  <si>
    <t>NP_001243817.1,NP_001243816.1,NP_001243818.1,NP_694581.1</t>
  </si>
  <si>
    <t>ENST00000628083,ENST00000368597,ENST00000452373,ENST00000405399,ENST00000368596</t>
  </si>
  <si>
    <t>ENSP00000487169,ENSP00000357586,ENSP00000409556,ENSP00000385836,ENSP00000357585</t>
  </si>
  <si>
    <t>NM_001170795,NM_080592,NM_016085</t>
  </si>
  <si>
    <t>NP_001164266.1,NP_542159.3,NP_057169.2</t>
  </si>
  <si>
    <t>ENST00000380171,ENST00000484646,ENST00000606999,ENST00000405489,ENST00000419744,ENST00000491220,ENST00000472515,ENST00000611786</t>
  </si>
  <si>
    <t>ENSP00000369518,ENSP00000476080,ENSP00000384033,ENSP00000397319,ENSP00000484228</t>
  </si>
  <si>
    <t>NM_001168243,NM_001141936</t>
  </si>
  <si>
    <t>NP_001161715.1,NP_001135408.2</t>
  </si>
  <si>
    <t>ENST00000409248,ENST00000409860</t>
  </si>
  <si>
    <t>ENSP00000386807,ENSP00000386528</t>
  </si>
  <si>
    <t>NR_033242,NM_001171155</t>
  </si>
  <si>
    <t>-,NP_001164626.1</t>
  </si>
  <si>
    <t>ENST00000594797,ENST00000623154,ENST00000456958,ENST00000601829,ENST00000601406,ENST00000598540,ENST00000600836</t>
  </si>
  <si>
    <t>ENSP00000470539,ENSP00000392303,ENSP00000470935,ENSP00000470314</t>
  </si>
  <si>
    <t>Homo sapiens cancer/testis antigen family 45, member A5 (CT45A5)</t>
  </si>
  <si>
    <t>NM_001172288,NM_001007551</t>
  </si>
  <si>
    <t>NP_001165759.2,NP_001007552.2</t>
  </si>
  <si>
    <t>Homo sapiens caspase recruitment domain family, member 8 (CARD8)</t>
  </si>
  <si>
    <t>ENST00000600800,ENST00000518450,ENST00000517510,ENST00000518622,ENST00000377461,ENST00000518979,ENST00000520753,ENST00000522773,ENST00000520153,ENST00000522051,ENST00000519646,ENST00000520015,ENST00000521613,ENST00000521415,ENST00000519940,ENST00000523579,ENST00000519302,ENST00000523668,ENST00000522068,ENST00000523750,ENST00000518596,ENST00000517778,ENST00000521092,ENST00000522889,ENST00000522431,ENST00000519332,ENST00000520007,ENST00000521437,ENST00000447740,ENST00000391898,ENST00000357778</t>
  </si>
  <si>
    <t>ENSP00000428975,ENSP00000428662,ENSP00000430057,ENSP00000430495,ENSP00000429839,ENSP00000429362,ENSP00000428736,ENSP00000430836,ENSP00000430747,ENSP00000427858,ENSP00000428862,ENSP00000428883,ENSP00000430460,ENSP00000429741,ENSP00000430567,ENSP00000427922,ENSP00000430108,ENSP00000427727,ENSP00000430178,ENSP00000391248,ENSP00000375767,ENSP00000350423</t>
  </si>
  <si>
    <t>NM_018281,NM_001198962,NM_001198961</t>
  </si>
  <si>
    <t>NP_060751.2,NP_001185891.1,NP_001185890.1</t>
  </si>
  <si>
    <t>ENST00000371522,ENST00000460612,ENST00000539680,ENST00000479183,ENST00000543419,ENST00000463923,ENST00000371520,ENST00000358358,ENST00000498544,ENST00000476477,ENST00000479593,ENST00000467988,ENST00000487866,ENST00000486170,ENST00000487851,ENST00000488268,ENST00000544365,ENST00000495920,ENST00000492992,ENST00000480312,ENST00000544531,ENST00000493896,ENST00000487040,ENST00000542552,ENST00000474789,ENST00000536120</t>
  </si>
  <si>
    <t>ENSP00000360577,ENSP00000360575,ENSP00000351125,ENSP00000446190,ENSP00000441962,ENSP00000439906,ENSP00000438535,ENSP00000439264</t>
  </si>
  <si>
    <t>NR_038934,NM_001242701</t>
  </si>
  <si>
    <t>-,NP_001229630.1</t>
  </si>
  <si>
    <t>ENST00000303635,ENST00000490738,ENST00000476163,ENST00000473578,ENST00000557126,ENST00000467404,ENST00000461311,ENST00000486138,ENST00000482934,ENST00000470648,ENST00000461580,ENST00000472283,ENST00000467267,ENST00000495233,ENST00000490905,ENST00000476864</t>
  </si>
  <si>
    <t>ENSP00000306522,ENSP00000451388,ENSP00000451510,ENSP00000450530,ENSP00000452184,ENSP00000452505,ENSP00000451443,ENSP00000451720,ENSP00000452024,ENSP00000452319</t>
  </si>
  <si>
    <t>NM_001242780,NR_040011</t>
  </si>
  <si>
    <t>NP_001229709.1,-</t>
  </si>
  <si>
    <t>ENST00000570711,ENST00000575743,ENST00000575899,ENST00000573601,ENST00000574432</t>
  </si>
  <si>
    <t>Homo sapiens olfactory receptor, family 52, subfamily E, member 8 (OR52E8)|Homo sapiens olfactory receptor, family 52, subfamily E, member 6 (OR52E6)</t>
  </si>
  <si>
    <t>ENST00000537935|ENST00000329322,ENST00000379946</t>
  </si>
  <si>
    <t>ENSP00000444054|ENSP00000328878,ENSP00000369279</t>
  </si>
  <si>
    <t>Homo sapiens golgin A6 family, member B (GOLGA6B)|Homo sapiens golgin A6 family, member A (GOLGA6A)|Homo sapiens golgin A6 family, member D (GOLGA6D)|Homo sapiens golgin A6 family-like 10 (GOLGA6L10)|Homo sapiens golgin A6 family, member A pseudogene (LOC645752)|Homo sapiens golgin A8 family, member T (GOLGA8T)</t>
  </si>
  <si>
    <t>ENST00000421285,ENST00000568532|ENST00000290438,ENST00000562157,ENST00000569486,ENST00000568723|ENST00000434739,ENST00000618219|ENST00000633133,ENST00000632087,ENST00000611944</t>
  </si>
  <si>
    <t>ENSP00000408132|ENSP00000290438|ENSP00000391085,ENSP00000481067|ENSP00000487759,ENSP00000478445</t>
  </si>
  <si>
    <t>NM_001199757,NM_001100880,NM_001100879,NR_037653,NR_037652|NM_001114735,NM_004049</t>
  </si>
  <si>
    <t>NP_001186686.1,NP_001094350.1,NP_001094349.1,-,-|NP_001108207.1,NP_004040.1</t>
  </si>
  <si>
    <t>ENST00000562759,ENST00000478497,ENST00000485386|ENST00000267953,ENST00000335661</t>
  </si>
  <si>
    <t>ENSP00000457965,ENSP00000453502,ENSP00000453693|ENSP00000267953,ENSP00000335250</t>
  </si>
  <si>
    <t>NM_001079516|NM_019893,NM_001143974</t>
  </si>
  <si>
    <t>NP_001072984.1|NP_063946.2,NP_001137446.1</t>
  </si>
  <si>
    <t>ENST00000374007,ENST00000374006,ENST00000483649|ENST00000395526,ENST00000489640,ENST00000329428,ENST00000474434,ENST00000447815,ENST00000443575</t>
  </si>
  <si>
    <t>ENSP00000363119,ENSP00000363118|ENSP00000378897,ENSP00000476827,ENSP00000329886,ENSP00000476403,ENSP00000388206,ENSP00000392766</t>
  </si>
  <si>
    <t>Homo sapiens SPATA31 subfamily D, member 4 (SPATA31D4)|Homo sapiens SPATA31 subfamily D, member 5, pseudogene (SPATA31D5P)|Homo sapiens SPATA31 subfamily D, member 3 (SPATA31D3)|Homo sapiens SPATA31 subfamily D, member 1 (SPATA31D1)</t>
  </si>
  <si>
    <t>ENST00000419782|ENST00000527857,ENST00000376459|ENST00000445385,ENST00000334208|ENST00000344803,ENST00000603921</t>
  </si>
  <si>
    <t>ENSP00000488251||ENSP00000488117,ENSP00000488801|ENSP00000341988</t>
  </si>
  <si>
    <t>ENST00000619635,ENST00000424805,ENST00000593810</t>
  </si>
  <si>
    <t>ENSP00000480719,ENSP00000390576,ENSP00000469445</t>
  </si>
  <si>
    <t>NM_001018139,NM_002512,NM_001018137,NM_001018138,NM_001198682|NR_037149,NM_001018136</t>
  </si>
  <si>
    <t>NP_001018149.1,NP_002503.1,NP_001018147.1,NP_001018148.1,NP_001185611.1|-,NP_001018146.1</t>
  </si>
  <si>
    <t>ENST00000514264,ENST00000513177,ENST00000512737,ENST00000503064,ENST00000393183,ENST00000485076,ENST00000393190,ENST00000570801,ENST00000573262|ENST00000393193,ENST00000376392,ENST00000555572</t>
  </si>
  <si>
    <t>ENSP00000426976,ENSP00000425581,ENSP00000421064,ENSP00000426901,ENSP00000376880,ENSP00000376886|ENSP00000376889,ENSP00000365572,ENSP00000451932</t>
  </si>
  <si>
    <t>NM_001199121,NM_024839,NM_001199120|NM_001199119</t>
  </si>
  <si>
    <t>NP_001186050.1,NP_079115.1,NP_001186049.1|NP_001186048.1</t>
  </si>
  <si>
    <t>ENST00000430819,ENST00000467113,ENST00000478784,ENST00000498637,ENST00000490158,ENST00000492100,ENST00000414187,ENST00000452262,ENST00000439797|ENST00000552520</t>
  </si>
  <si>
    <t>ENSP00000416194,ENSP00000398396,ENSP00000388494,ENSP00000405448|ENSP00000448462</t>
  </si>
  <si>
    <t>NM_001199119|NM_001199121,NM_024839,NM_001199120</t>
  </si>
  <si>
    <t>NP_001186048.1|NP_001186050.1,NP_079115.1,NP_001186049.1</t>
  </si>
  <si>
    <t>ENST00000613597|ENST00000613597|ENST00000450925,ENST00000436618,ENST00000442222,ENST00000445836,ENST00000452055,ENST00000414022,ENST00000454833,ENST00000419950,ENST00000422715,ENST00000428752</t>
  </si>
  <si>
    <t>Homo sapiens beta-defensin 131-like (LOC100129216)|Homo sapiens defensin, beta 131 (DEFB131)</t>
  </si>
  <si>
    <t>ENST00000263083,ENST00000575667,ENST00000571418,ENST00000572819,ENST00000576129,ENST00000570477,ENST00000570833,ENST00000576891,ENST00000572214,ENST00000570867,ENST00000575998,ENST00000571710,ENST00000572684,ENST00000607788,ENST00000572248,ENST00000575162,ENST00000263084|ENST00000572195</t>
  </si>
  <si>
    <t>ENSP00000263083,ENSP00000460431,ENSP00000458838,ENSP00000458726,ENSP00000467936,ENSP00000460813,ENSP00000476070,ENSP00000476598,ENSP00000477033|ENSP00000461388</t>
  </si>
  <si>
    <t>Homo sapiens histone cluster 1, H2bl (HIST1H2BL)|Homo sapiens histone cluster 1, H2bf (HIST1H2BF)</t>
  </si>
  <si>
    <t>Homo sapiens variable charge, X-linked (VCX)|Homo sapiens variable charge, X-linked 3A (VCX3A)|Homo sapiens variable charge, X-linked 3B (VCX3B)|Homo sapiens variable charge, X-linked 2 (VCX2)</t>
  </si>
  <si>
    <t>ENST00000381059,ENST00000341408,ENST00000620630|ENST00000398729|ENST00000381032,ENST00000381029,ENST00000444481,ENST00000453306|ENST00000317103</t>
  </si>
  <si>
    <t>ENSP00000370447,ENSP00000344144,ENSP00000484419|ENSP00000381713|ENSP00000370420,ENSP00000370417,ENSP00000414780,ENSP00000411785|ENSP00000321309</t>
  </si>
  <si>
    <t>Homo sapiens histone cluster 1, H4j (HIST1H4J)|Homo sapiens histone cluster 1, H4k (HIST1H4K)</t>
  </si>
  <si>
    <t>Homo sapiens cancer/testis antigen family 45, member A2 (CT45A2)|Homo sapiens cancer/testis antigen family 45, member A1 (CT45A1)|Homo sapiens cancer/testis antigen family 45, member A5 (CT45A5)|PREDICTED: Homo sapiens cancer/testis antigen family 45, member A7 (CT45A7)|Homo sapiens cancer/testis antigen family 45, member A6 (CT45A6)|Homo sapiens cancer/testis antigen family 45, member A3 (CT45A3)|Homo sapiens cancer/testis antigen family 45, member A4 (CT45A4)</t>
  </si>
  <si>
    <t>NM_152582|NM_001017417|NM_001172288,NM_001007551|XM_003960082|NM_001017438|NM_001017435|NM_001017436</t>
  </si>
  <si>
    <t>NP_689795.4|NP_001017417.1|NP_001165759.2,NP_001007552.2|XP_003960131.1|NP_001017438.2|NP_001017435.1|NP_001017436.1</t>
  </si>
  <si>
    <t>ENST00000604569|ENST00000594565,ENST00000594117|ENST00000620885|ENST00000620885|ENST00000620885|ENST00000597510|ENST00000604569</t>
  </si>
  <si>
    <t>ENSP00000475060|ENSP00000472303,ENSP00000470185|ENSP00000480765|ENSP00000480765|ENSP00000480765|ENSP00000471418|ENSP00000475060</t>
  </si>
  <si>
    <t>Homo sapiens B melanoma antigen family, member 2 (BAGE2)|Homo sapiens B melanoma antigen family, member 4 (BAGE4)|Homo sapiens B melanoma antigen family, member 3 (BAGE3)|Homo sapiens B melanoma antigen family, member 5 (BAGE5)</t>
  </si>
  <si>
    <t>Homo sapiens interferon, lambda 3 (IFNL3)|Homo sapiens interferon, lambda 2 (IFNL2)|Homo sapiens interferon, lambda 1 (IFNL1)</t>
  </si>
  <si>
    <t>ENST00000413851,ENST00000613087|ENST00000331982|ENST00000333625</t>
  </si>
  <si>
    <t>ENSP00000409000,ENSP00000481633|ENSP00000333639|ENSP00000329991</t>
  </si>
  <si>
    <t>NR_046440,NR_046439|NR_038327|NR_037871|NM_144705</t>
  </si>
  <si>
    <t>-,-|-|-|NP_653306.1</t>
  </si>
  <si>
    <t>ENST00000559466|ENST00000559466|ENST00000468063,ENST00000295201</t>
  </si>
  <si>
    <t>XR_431277,XR_426840|XM_006726366|XR_922102,XR_917450|XM_005276143</t>
  </si>
  <si>
    <t>-,-|XP_006726429.1|-,-|XP_005276200.1</t>
  </si>
  <si>
    <t>ENST00000512375,ENST00000295491,ENST00000507019,ENST00000507349,ENST00000509970,ENST00000505719,ENST00000505525,ENST00000514581,ENST00000509571</t>
  </si>
  <si>
    <t>ENSP00000295491,ENSP00000427169,ENSP00000426930,ENSP00000427014,ENSP00000425268</t>
  </si>
  <si>
    <t>PREDICTED: Homo sapiens family with sequence similarity 231, member B (FAM231B)|PREDICTED: Homo sapiens family with sequence similarity 231, member C (FAM231C)</t>
  </si>
  <si>
    <t>XM_003960101,XM_001721533|XM_001715369</t>
  </si>
  <si>
    <t>XP_003960150.1,XP_001721585.1|XP_001715421.1</t>
  </si>
  <si>
    <t>ENST00000509448,ENST00000515197,ENST00000507606,ENST00000422968</t>
  </si>
  <si>
    <t>ENSP00000485469,ENSP00000425996</t>
  </si>
  <si>
    <t>ENST00000565078,ENST00000570123,ENST00000568339,ENST00000566115,ENST00000567241,ENST00000568794,ENST00000253452,ENST00000562336,ENST00000563774,ENST00000567266,ENST00000561569,ENST00000566405,ENST00000564544,ENST00000566617,ENST00000564648,ENST00000564903,ENST00000569997,ENST00000562929</t>
  </si>
  <si>
    <t>ENSP00000454869,ENSP00000455437,ENSP00000455030,ENSP00000253452,ENSP00000457513,ENSP00000457015,ENSP00000455301,ENSP00000456452,ENSP00000454714</t>
  </si>
  <si>
    <t>Homo sapiens family with sequence similarity 32, member A (FAM32A)</t>
  </si>
  <si>
    <t>ENST00000589852,ENST00000263384,ENST00000588367,ENST00000585831,ENST00000587351</t>
  </si>
  <si>
    <t>ENSP00000465969,ENSP00000263384,ENSP00000464939,ENSP00000467027,ENSP00000466294</t>
  </si>
  <si>
    <t>ENST00000395422,ENST00000473095</t>
  </si>
  <si>
    <t>Homo sapiens ferritin, heavy polypeptide-like 17 (FTHL17)</t>
  </si>
  <si>
    <t>Homo sapiens ubiquinol-cytochrome c reductase, Rieske iron-sulfur polypeptide 1 (UQCRFS1)</t>
  </si>
  <si>
    <t>ENST00000458198,ENST00000395009</t>
  </si>
  <si>
    <t>ENSP00000394183,ENSP00000378456</t>
  </si>
  <si>
    <t>Homo sapiens olfactory receptor, family 2, subfamily AP, member 1 (OR2AP1)</t>
  </si>
  <si>
    <t>ENST00000216727,ENST00000397276,ENST00000556821,ENST00000556809,ENST00000557702,ENST00000554062,ENST00000553960,ENST00000555295|ENST00000553781,ENST00000556100,ENST00000557008</t>
  </si>
  <si>
    <t>ENSP00000216727,ENSP00000380446,ENSP00000451970,ENSP00000450724,ENSP00000451592|ENSP00000451320,ENSP00000452479</t>
  </si>
  <si>
    <t>Homo sapiens histone cluster 2, H2aa3 (HIST2H2AA3)|Homo sapiens histone cluster 2, H2aa4 (HIST2H2AA4)</t>
  </si>
  <si>
    <t>NR_110454,NR_034106,NM_001308963</t>
  </si>
  <si>
    <t>-,-,NP_001295892.1</t>
  </si>
  <si>
    <t>Homo sapiens RAB34, member RAS oncogene family (RAB34)|Homo sapiens nine-amino acid residue-repeats (NARR)</t>
  </si>
  <si>
    <t>NM_031934,NM_001256277,NM_001144943,NM_001144942,NM_001142625,NM_001142624|NM_001256281</t>
  </si>
  <si>
    <t>NP_114140.4,NP_001243206.1,NP_001138415.1,NP_001138414.1,NP_001136097.2,NP_001136096.2|NP_001243210.1</t>
  </si>
  <si>
    <t>ENST00000395243,ENST00000625712,ENST00000301043,ENST00000450529,ENST00000415040,ENST00000484161,ENST00000422279,ENST00000395242,ENST00000474704,ENST00000395245,ENST00000436730,ENST00000430132,ENST00000583538,ENST00000353676,ENST00000412625,ENST00000496866,ENST00000419712,ENST00000481501,ENST00000580843,ENST00000483554,ENST00000482688,ENST00000582934,ENST00000453384</t>
  </si>
  <si>
    <t>ENSP00000378664,ENSP00000487160,ENSP00000301043,ENSP00000391048,ENSP00000410279,ENSP00000397499,ENSP00000378663,ENSP00000378666,ENSP00000404180,ENSP00000407953,ENSP00000463488,ENSP00000226259,ENSP00000398706,ENSP00000464723,ENSP00000465352,ENSP00000476427,ENSP00000413156</t>
  </si>
  <si>
    <t>NM_005949,NM_001301272</t>
  </si>
  <si>
    <t>NP_005940.1,NP_001288201.1</t>
  </si>
  <si>
    <t>ENST00000334350,ENST00000564295,ENST00000568475,ENST00000567672</t>
  </si>
  <si>
    <t>ENSP00000334872,ENSP00000456462</t>
  </si>
  <si>
    <t>NM_003634,NM_001202502</t>
  </si>
  <si>
    <t>NP_003625.2,NP_001189431.1</t>
  </si>
  <si>
    <t>ENST00000216121,ENST00000437094,ENST00000415100,ENST00000455496,ENST00000496944,ENST00000494966</t>
  </si>
  <si>
    <t>ENSP00000216121,ENSP00000403448,ENSP00000407851,ENSP00000404227</t>
  </si>
  <si>
    <t>NM_005950,NM_001301267</t>
  </si>
  <si>
    <t>NP_005941.1,NP_001288196.1</t>
  </si>
  <si>
    <t>ENST00000444837,ENST00000569500,ENST00000379811,ENST00000568675</t>
  </si>
  <si>
    <t>ENSP00000391397,ENSP00000456675,ENSP00000369139,ENSP00000456835</t>
  </si>
  <si>
    <t>Homo sapiens vitamin K epoxide reductase complex, subunit 1 (VKORC1)</t>
  </si>
  <si>
    <t>NM_206824,NM_024006</t>
  </si>
  <si>
    <t>NP_996560.1,NP_076869.1</t>
  </si>
  <si>
    <t>ENST00000300851,ENST00000319788,ENST00000354895,ENST00000394975,ENST00000420057,ENST00000394971,ENST00000498155,ENST00000472468</t>
  </si>
  <si>
    <t>ENSP00000300851,ENSP00000326135,ENSP00000346969,ENSP00000378426,ENSP00000437064,ENSP00000378422,ENSP00000417662,ENSP00000458994</t>
  </si>
  <si>
    <t>NM_183352,NM_030673,NM_001278946,NM_001136232,NM_001136026</t>
  </si>
  <si>
    <t>NP_899195.1,NP_109598.2,NP_001265875.1,NP_001129704.1,NP_001129498.1</t>
  </si>
  <si>
    <t>ENST00000492602,ENST00000397109,ENST00000337354,ENST00000350697,ENST00000479868,ENST00000397117,ENST00000383801,ENST00000477547,ENST00000476597,ENST00000490283,ENST00000482647,ENST00000397105,ENST00000431352,ENST00000397102,ENST00000397101,ENST00000397099,ENST00000428626,ENST00000445064,ENST00000432213</t>
  </si>
  <si>
    <t>ENSP00000380298,ENSP00000336566,ENSP00000312122,ENSP00000380306,ENSP00000373312,ENSP00000401368,ENSP00000400260,ENSP00000398623,ENSP00000404141</t>
  </si>
  <si>
    <t>XM_011522871,XM_005255798,NM_001861</t>
  </si>
  <si>
    <t>XP_011521173.1,XP_005255855.1,NP_001852.1</t>
  </si>
  <si>
    <t>XM_011533996,XM_006713288,XM_005265379,XM_005265378,NM_183352,NM_030673,NM_001278946,NM_001136232,NM_001136026</t>
  </si>
  <si>
    <t>XP_011532298.1,XP_006713351.1,XP_005265436.1,XP_005265435.1,NP_899195.1,NP_109598.2,NP_001265875.1,NP_001129704.1,NP_001129498.1</t>
  </si>
  <si>
    <t>XM_006726450,XM_006716229</t>
  </si>
  <si>
    <t>XP_006726513.1,XP_006716292.1</t>
  </si>
  <si>
    <t>XM_006726769,XM_006722594</t>
  </si>
  <si>
    <t>XP_006726832.2,XP_006722657.1</t>
  </si>
  <si>
    <t>XM_005276311,XM_005250081</t>
  </si>
  <si>
    <t>XP_005276368.1,XP_005250138.1</t>
  </si>
  <si>
    <t>XM_005261789,NM_003634,NM_001202502</t>
  </si>
  <si>
    <t>XP_005261846.1,NP_003625.2,NP_001189431.1</t>
  </si>
  <si>
    <t>ENSP00000363421,ENSP00000434751,ENSP00000363418,ENSP00000432014,ENSP00000431278,ENSP00000435745,ENSP00000363419,ENSP00000434120,ENSP00000434157,ENSP00000363426,ENSP00000435193,ENSP00000435553,ENSP00000432227,ENSP00000432719,ENSP00000436954,ENSP00000435461,ENSP00000434038,ENSP00000434773,ENSP00000390841|ENSP00000457066</t>
  </si>
  <si>
    <t>ENSP00000472152|ENSP00000333980,ENSP00000397745</t>
  </si>
  <si>
    <t>|ENSP00000377802|ENSP00000389023,ENSP00000335185,ENSP00000404911,ENSP00000352128|ENSP00000377806|ENSP00000377803</t>
  </si>
  <si>
    <t>|ENSP00000388330,ENSP00000313877,ENSP00000406339,ENSP00000448575,ENSP00000450041,ENSP00000390679,ENSP00000389162,ENSP00000440987,ENSP00000439342|ENSP00000449309|ENSP00000449544</t>
  </si>
  <si>
    <t>ENST00000521308,ENST00000355417,ENST00000519448,ENST00000518189,ENST00000522964,ENST00000524344,ENST00000522179,ENST00000519740</t>
  </si>
  <si>
    <t>ENSP00000347586,ENSP00000430549,ENSP00000428588,ENSP00000430436</t>
  </si>
  <si>
    <t>NM_004714,NM_006484,NM_006483</t>
  </si>
  <si>
    <t>NP_004705.1,NP_006475.1,NP_006474.1</t>
  </si>
  <si>
    <t>ENST00000631090,ENST00000625757,ENST00000625388,ENST00000625438,ENST00000627034,ENST00000629412,ENST00000626964,ENST00000630714</t>
  </si>
  <si>
    <t>ENSP00000486377,ENSP00000485915,ENSP00000486839,ENSP00000487313,ENSP00000487539,ENSP00000486913,ENSP00000486264</t>
  </si>
  <si>
    <t>Homo sapiens processing of precursor 7, ribonuclease P/MRP subunit (S. cerevisiae)</t>
  </si>
  <si>
    <t>ENST00000303151,ENST00000457480</t>
  </si>
  <si>
    <t>ENSP00000304353,ENSP00000387814</t>
  </si>
  <si>
    <t>ENST00000438716,ENST00000407373,ENST00000332585,ENST00000446658,ENST00000477355,ENST00000445781,ENST00000401475,ENST00000464341,ENST00000496367,ENST00000424224,ENST00000454145,ENST00000453621,ENST00000431368,ENST00000452656,ENST00000496575,ENST00000433183,ENST00000535268,ENST00000437268,ENST00000403222</t>
  </si>
  <si>
    <t>ENSP00000411052,ENSP00000385237,ENSP00000332576,ENSP00000392080,ENSP00000411497,ENSP00000385254,ENSP00000388575,ENSP00000409011,ENSP00000401776,ENSP00000415274,ENSP00000409838,ENSP00000392362,ENSP00000438713,ENSP00000389200,ENSP00000384213</t>
  </si>
  <si>
    <t>NM_001142500,NM_001142499,NM_138439</t>
  </si>
  <si>
    <t>NP_001135972.1,NP_001135971.1,NP_612448.1</t>
  </si>
  <si>
    <t>ENST00000396958,ENST00000293981,ENST00000573965,ENST00000572006,ENST00000572786</t>
  </si>
  <si>
    <t>ENSP00000380159,ENSP00000293981,ENSP00000461275,ENSP00000459223</t>
  </si>
  <si>
    <t>NM_198897,NM_004214</t>
  </si>
  <si>
    <t>NP_942600.1,NP_004205.2</t>
  </si>
  <si>
    <t>ENST00000534032,ENST00000338369,ENST00000357519,ENST00000525765,ENST00000531115,ENST00000533045,ENST00000533037,ENST00000532934,ENST00000532229,ENST00000532679,ENST00000426652,ENST00000528937,ENST00000442885</t>
  </si>
  <si>
    <t>ENSP00000344572,ENSP00000350124,ENSP00000431457,ENSP00000434043,ENSP00000431414,ENSP00000433683</t>
  </si>
  <si>
    <t>ENST00000333676,ENST00000541223</t>
  </si>
  <si>
    <t>ENSP00000333837,ENSP00000439565</t>
  </si>
  <si>
    <t>Homo sapiens glycine receptor, alpha 1 (GLRA1)</t>
  </si>
  <si>
    <t>NM_001146040,NM_000171</t>
  </si>
  <si>
    <t>NP_001139512.1,NP_000162.2</t>
  </si>
  <si>
    <t>ENST00000274576,ENST00000462581,ENST00000455880,ENST00000471351</t>
  </si>
  <si>
    <t>ENSP00000274576,ENSP00000430595,ENSP00000411593</t>
  </si>
  <si>
    <t>ENST00000409011,ENST00000281950,ENST00000409566</t>
  </si>
  <si>
    <t>ENSP00000387191,ENSP00000281950,ENSP00000386613</t>
  </si>
  <si>
    <t>Homo sapiens interferon, alpha 16 (IFNA16)|Homo sapiens interferon, alpha 4 (IFNA4)|Homo sapiens interferon, alpha 17 (IFNA17)|Homo sapiens interferon, alpha 10 (IFNA10)|Homo sapiens interferon, alpha 21 (IFNA21)|Homo sapiens interferon, alpha 8 (IFNA8)</t>
  </si>
  <si>
    <t>ENST00000380216|ENST00000421715|ENST00000413767,ENST00000619448|ENST00000357374|ENST00000380225|ENST00000380205</t>
  </si>
  <si>
    <t>ENSP00000369564|ENSP00000412897|ENSP00000411940,ENSP00000482906|ENSP00000369566|ENSP00000369574|ENSP00000369553</t>
  </si>
  <si>
    <t>NM_001199111,NM_005917</t>
  </si>
  <si>
    <t>NP_001186040.1,NP_005908.1</t>
  </si>
  <si>
    <t>Sample</t>
  </si>
  <si>
    <t>Sample_Label</t>
  </si>
  <si>
    <t>Chip_label</t>
  </si>
  <si>
    <t>112D NC</t>
  </si>
  <si>
    <t>112D HOXD10</t>
  </si>
  <si>
    <t>PRDX2</t>
    <phoneticPr fontId="4" type="noConversion"/>
  </si>
  <si>
    <t>CXCL14</t>
    <phoneticPr fontId="4" type="noConversion"/>
  </si>
  <si>
    <t>PCDH15</t>
    <phoneticPr fontId="4" type="noConversion"/>
  </si>
  <si>
    <t>CCL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</si>
</sst>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u/>
      <sz val="10"/>
      <color rgb="FF0000FF"/>
      <name val="Arial"/>
      <family val="2"/>
    </font>
    <font>
      <sz val="9"/>
      <name val="Calibri"/>
      <family val="3"/>
      <charset val="136"/>
      <scheme val="minor"/>
    </font>
    <font>
      <sz val="10"/>
      <color rgb="FF92D050"/>
      <name val="Arial"/>
      <family val="2"/>
    </font>
    <font>
      <sz val="10"/>
      <color rgb="FFFF0000"/>
      <name val="Arial"/>
      <family val="2"/>
    </font>
    <font>
      <sz val="10"/>
      <color theme="9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0" fillId="0" borderId="0" xfId="0" applyFill="1"/>
    <xf numFmtId="0" fontId="2" fillId="0" borderId="0" xfId="0" applyFont="1" applyFill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7"/>
  <sheetViews>
    <sheetView workbookViewId="0">
      <selection activeCell="F16" sqref="F16"/>
    </sheetView>
  </sheetViews>
  <sheetFormatPr defaultRowHeight="14.4"/>
  <cols>
    <col min="2" max="2" width="4.21875" bestFit="1" customWidth="1"/>
    <col min="3" max="3" width="15.77734375" bestFit="1" customWidth="1"/>
    <col min="4" max="4" width="15" bestFit="1" customWidth="1"/>
    <col min="5" max="5" width="7.33203125" bestFit="1" customWidth="1"/>
    <col min="6" max="6" width="23.33203125" bestFit="1" customWidth="1"/>
    <col min="7" max="7" width="11.77734375" bestFit="1" customWidth="1"/>
  </cols>
  <sheetData>
    <row r="3" spans="2:7" ht="15" thickBot="1">
      <c r="B3" s="1" t="s">
        <v>0</v>
      </c>
      <c r="C3" s="2" t="s">
        <v>20219</v>
      </c>
      <c r="D3" s="2" t="s">
        <v>20220</v>
      </c>
      <c r="E3" s="2" t="s">
        <v>1</v>
      </c>
      <c r="F3" s="2" t="s">
        <v>2</v>
      </c>
      <c r="G3" s="3" t="s">
        <v>20221</v>
      </c>
    </row>
    <row r="4" spans="2:7">
      <c r="B4" s="4">
        <v>1</v>
      </c>
      <c r="C4" s="7" t="s">
        <v>20222</v>
      </c>
      <c r="D4" s="5" t="s">
        <v>3</v>
      </c>
      <c r="E4" s="19" t="s">
        <v>4</v>
      </c>
      <c r="F4" s="5" t="s">
        <v>5</v>
      </c>
      <c r="G4" s="6" t="s">
        <v>6</v>
      </c>
    </row>
    <row r="5" spans="2:7">
      <c r="B5" s="4">
        <v>2</v>
      </c>
      <c r="C5" s="7" t="s">
        <v>20222</v>
      </c>
      <c r="D5" s="5" t="s">
        <v>7</v>
      </c>
      <c r="E5" s="20"/>
      <c r="F5" s="5" t="s">
        <v>8</v>
      </c>
      <c r="G5" s="6" t="s">
        <v>9</v>
      </c>
    </row>
    <row r="6" spans="2:7">
      <c r="B6" s="4">
        <v>3</v>
      </c>
      <c r="C6" s="7" t="s">
        <v>20223</v>
      </c>
      <c r="D6" s="5" t="s">
        <v>10</v>
      </c>
      <c r="E6" s="20" t="s">
        <v>11</v>
      </c>
      <c r="F6" s="5" t="s">
        <v>12</v>
      </c>
      <c r="G6" s="6" t="s">
        <v>13</v>
      </c>
    </row>
    <row r="7" spans="2:7">
      <c r="B7" s="4">
        <v>4</v>
      </c>
      <c r="C7" s="7" t="s">
        <v>20223</v>
      </c>
      <c r="D7" s="5" t="s">
        <v>14</v>
      </c>
      <c r="E7" s="20"/>
      <c r="F7" s="5" t="s">
        <v>15</v>
      </c>
      <c r="G7" s="6" t="s">
        <v>16</v>
      </c>
    </row>
  </sheetData>
  <mergeCells count="2">
    <mergeCell ref="E4:E5"/>
    <mergeCell ref="E6:E7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730"/>
  <sheetViews>
    <sheetView workbookViewId="0">
      <selection activeCell="E9" sqref="E9"/>
    </sheetView>
  </sheetViews>
  <sheetFormatPr defaultColWidth="8.77734375" defaultRowHeight="14.4"/>
  <cols>
    <col min="1" max="1" width="15.77734375" style="9" customWidth="1"/>
    <col min="2" max="4" width="10.77734375" style="9" customWidth="1"/>
    <col min="5" max="5" width="11.21875" style="9" customWidth="1"/>
    <col min="6" max="6" width="17.21875" style="9" customWidth="1"/>
    <col min="7" max="7" width="71.77734375" style="9" customWidth="1"/>
    <col min="8" max="8" width="10.77734375" style="9" customWidth="1"/>
    <col min="9" max="9" width="17.21875" style="9" customWidth="1"/>
    <col min="10" max="10" width="10.77734375" style="9" customWidth="1"/>
    <col min="11" max="11" width="38.21875" style="9" customWidth="1"/>
    <col min="12" max="12" width="18.77734375" style="9" customWidth="1"/>
    <col min="13" max="13" width="27.77734375" style="9" customWidth="1"/>
    <col min="14" max="14" width="23.21875" style="9" customWidth="1"/>
    <col min="15" max="16384" width="8.77734375" style="9"/>
  </cols>
  <sheetData>
    <row r="1" spans="1:14">
      <c r="B1" s="21" t="s">
        <v>17</v>
      </c>
      <c r="C1" s="21"/>
      <c r="D1" s="21" t="s">
        <v>18</v>
      </c>
      <c r="E1" s="21"/>
      <c r="F1" s="21" t="s">
        <v>19</v>
      </c>
      <c r="G1" s="21"/>
      <c r="H1" s="21"/>
      <c r="I1" s="21"/>
      <c r="J1" s="21"/>
      <c r="K1" s="21"/>
      <c r="L1" s="21"/>
      <c r="M1" s="21"/>
      <c r="N1" s="21"/>
    </row>
    <row r="2" spans="1:14">
      <c r="A2" s="10" t="s">
        <v>20</v>
      </c>
      <c r="B2" s="11" t="s">
        <v>11</v>
      </c>
      <c r="C2" s="10" t="s">
        <v>4</v>
      </c>
      <c r="D2" s="11" t="s">
        <v>21</v>
      </c>
      <c r="E2" s="10" t="s">
        <v>22</v>
      </c>
      <c r="F2" s="11" t="s">
        <v>23</v>
      </c>
      <c r="G2" s="10" t="s">
        <v>24</v>
      </c>
      <c r="H2" s="10" t="s">
        <v>1</v>
      </c>
      <c r="I2" s="10" t="s">
        <v>25</v>
      </c>
      <c r="J2" s="10" t="s">
        <v>26</v>
      </c>
      <c r="K2" s="10" t="s">
        <v>27</v>
      </c>
      <c r="L2" s="10" t="s">
        <v>28</v>
      </c>
      <c r="M2" s="10" t="s">
        <v>29</v>
      </c>
      <c r="N2" s="10" t="s">
        <v>30</v>
      </c>
    </row>
    <row r="3" spans="1:14">
      <c r="A3" s="12" t="s">
        <v>11302</v>
      </c>
      <c r="B3" s="8">
        <v>8640.1884652740991</v>
      </c>
      <c r="C3" s="12">
        <v>142.65669027777901</v>
      </c>
      <c r="D3" s="8">
        <v>5.9204434689417402</v>
      </c>
      <c r="E3" s="12">
        <v>3.11802940094596E-6</v>
      </c>
      <c r="F3" s="8" t="s">
        <v>1805</v>
      </c>
      <c r="G3" s="12" t="s">
        <v>1806</v>
      </c>
      <c r="H3" s="12">
        <v>1</v>
      </c>
      <c r="I3" s="13" t="str">
        <f>HYPERLINK("http://www.ncbi.nlm.nih.gov/gene/54726", "54726")</f>
        <v>54726</v>
      </c>
      <c r="J3" s="13" t="str">
        <f>HYPERLINK("http://www.ncbi.nlm.nih.gov/nuccore/NM_017493", "NM_017493")</f>
        <v>NM_017493</v>
      </c>
      <c r="K3" s="12" t="s">
        <v>11303</v>
      </c>
      <c r="L3" s="13" t="str">
        <f>HYPERLINK("http://asia.ensembl.org/Homo_sapiens/Gene/Summary?g=ENSG00000164164", "ENSG00000164164")</f>
        <v>ENSG00000164164</v>
      </c>
      <c r="M3" s="12" t="s">
        <v>12433</v>
      </c>
      <c r="N3" s="12" t="s">
        <v>12434</v>
      </c>
    </row>
    <row r="4" spans="1:14">
      <c r="A4" s="12" t="s">
        <v>11177</v>
      </c>
      <c r="B4" s="8">
        <v>1654.1842859247299</v>
      </c>
      <c r="C4" s="12">
        <v>49.999999999999901</v>
      </c>
      <c r="D4" s="8">
        <v>5.04804806312056</v>
      </c>
      <c r="E4" s="12">
        <v>1.26933336003715E-6</v>
      </c>
      <c r="F4" s="8" t="s">
        <v>38</v>
      </c>
      <c r="G4" s="12" t="s">
        <v>38</v>
      </c>
      <c r="H4" s="12">
        <v>1</v>
      </c>
      <c r="I4" s="12" t="s">
        <v>38</v>
      </c>
      <c r="J4" s="12" t="s">
        <v>38</v>
      </c>
      <c r="K4" s="12" t="s">
        <v>38</v>
      </c>
      <c r="L4" s="13" t="str">
        <f>HYPERLINK("http://asia.ensembl.org/Homo_sapiens/Gene/Summary?g=ENSG00000173214", "ENSG00000173214")</f>
        <v>ENSG00000173214</v>
      </c>
      <c r="M4" s="12" t="s">
        <v>11178</v>
      </c>
      <c r="N4" s="12" t="s">
        <v>10823</v>
      </c>
    </row>
    <row r="5" spans="1:14">
      <c r="A5" s="12" t="s">
        <v>7897</v>
      </c>
      <c r="B5" s="8">
        <v>6765.42622878775</v>
      </c>
      <c r="C5" s="12">
        <v>236.689952315157</v>
      </c>
      <c r="D5" s="8">
        <v>4.83711045944791</v>
      </c>
      <c r="E5" s="12">
        <v>4.5432902254930397E-5</v>
      </c>
      <c r="F5" s="8" t="s">
        <v>7898</v>
      </c>
      <c r="G5" s="12" t="s">
        <v>7899</v>
      </c>
      <c r="H5" s="12">
        <v>1</v>
      </c>
      <c r="I5" s="13" t="str">
        <f>HYPERLINK("http://www.ncbi.nlm.nih.gov/gene/10457", "10457")</f>
        <v>10457</v>
      </c>
      <c r="J5" s="12" t="s">
        <v>14600</v>
      </c>
      <c r="K5" s="12" t="s">
        <v>14601</v>
      </c>
      <c r="L5" s="13" t="str">
        <f>HYPERLINK("http://asia.ensembl.org/Homo_sapiens/Gene/Summary?g=ENSG00000136235", "ENSG00000136235")</f>
        <v>ENSG00000136235</v>
      </c>
      <c r="M5" s="12" t="s">
        <v>14602</v>
      </c>
      <c r="N5" s="12" t="s">
        <v>14603</v>
      </c>
    </row>
    <row r="6" spans="1:14">
      <c r="A6" s="12" t="s">
        <v>2178</v>
      </c>
      <c r="B6" s="8">
        <v>2835.1509186817998</v>
      </c>
      <c r="C6" s="12">
        <v>138.29924695968299</v>
      </c>
      <c r="D6" s="8">
        <v>4.35756032756131</v>
      </c>
      <c r="E6" s="12">
        <v>1.6332423001578001E-4</v>
      </c>
      <c r="F6" s="8" t="s">
        <v>2179</v>
      </c>
      <c r="G6" s="12" t="s">
        <v>2180</v>
      </c>
      <c r="H6" s="12">
        <v>1</v>
      </c>
      <c r="I6" s="13" t="str">
        <f>HYPERLINK("http://www.ncbi.nlm.nih.gov/gene/347902", "347902")</f>
        <v>347902</v>
      </c>
      <c r="J6" s="13" t="str">
        <f>HYPERLINK("http://www.ncbi.nlm.nih.gov/nuccore/NM_001143668", "NM_001143668")</f>
        <v>NM_001143668</v>
      </c>
      <c r="K6" s="12" t="s">
        <v>2181</v>
      </c>
      <c r="L6" s="13" t="str">
        <f>HYPERLINK("http://asia.ensembl.org/Homo_sapiens/Gene/Summary?g=ENSG00000139211", "ENSG00000139211")</f>
        <v>ENSG00000139211</v>
      </c>
      <c r="M6" s="12" t="s">
        <v>12562</v>
      </c>
      <c r="N6" s="12" t="s">
        <v>12563</v>
      </c>
    </row>
    <row r="7" spans="1:14">
      <c r="A7" s="12" t="s">
        <v>10202</v>
      </c>
      <c r="B7" s="8">
        <v>700.01509220035302</v>
      </c>
      <c r="C7" s="12">
        <v>50</v>
      </c>
      <c r="D7" s="8">
        <v>3.8073860266402999</v>
      </c>
      <c r="E7" s="12">
        <v>6.6845351325365802E-6</v>
      </c>
      <c r="F7" s="8" t="s">
        <v>9616</v>
      </c>
      <c r="G7" s="12" t="s">
        <v>9617</v>
      </c>
      <c r="H7" s="12">
        <v>1</v>
      </c>
      <c r="I7" s="13" t="str">
        <f>HYPERLINK("http://www.ncbi.nlm.nih.gov/gene/158511", "158511")</f>
        <v>158511</v>
      </c>
      <c r="J7" s="12" t="s">
        <v>15317</v>
      </c>
      <c r="K7" s="12" t="s">
        <v>15318</v>
      </c>
      <c r="L7" s="13" t="str">
        <f>HYPERLINK("http://asia.ensembl.org/Homo_sapiens/Gene/Summary?g=ENSG00000198930", "ENSG00000198930")</f>
        <v>ENSG00000198930</v>
      </c>
      <c r="M7" s="12" t="s">
        <v>15319</v>
      </c>
      <c r="N7" s="12" t="s">
        <v>15320</v>
      </c>
    </row>
    <row r="8" spans="1:14">
      <c r="A8" s="12" t="s">
        <v>10554</v>
      </c>
      <c r="B8" s="8">
        <v>765.88877074236404</v>
      </c>
      <c r="C8" s="12">
        <v>59.260183225925601</v>
      </c>
      <c r="D8" s="8">
        <v>3.6919998941378598</v>
      </c>
      <c r="E8" s="12">
        <v>1.52623119970603E-3</v>
      </c>
      <c r="F8" s="8" t="s">
        <v>3358</v>
      </c>
      <c r="G8" s="12" t="s">
        <v>15562</v>
      </c>
      <c r="H8" s="12">
        <v>1</v>
      </c>
      <c r="I8" s="13" t="str">
        <f>HYPERLINK("http://www.ncbi.nlm.nih.gov/gene/2700", "2700")</f>
        <v>2700</v>
      </c>
      <c r="J8" s="13" t="str">
        <f>HYPERLINK("http://www.ncbi.nlm.nih.gov/nuccore/NM_021954", "NM_021954")</f>
        <v>NM_021954</v>
      </c>
      <c r="K8" s="12" t="s">
        <v>3359</v>
      </c>
      <c r="L8" s="13" t="str">
        <f>HYPERLINK("http://asia.ensembl.org/Homo_sapiens/Gene/Summary?g=ENSG00000121743", "ENSG00000121743")</f>
        <v>ENSG00000121743</v>
      </c>
      <c r="M8" s="12" t="s">
        <v>3360</v>
      </c>
      <c r="N8" s="12" t="s">
        <v>3361</v>
      </c>
    </row>
    <row r="9" spans="1:14">
      <c r="A9" s="12" t="s">
        <v>5588</v>
      </c>
      <c r="B9" s="8">
        <v>17611.886557998001</v>
      </c>
      <c r="C9" s="12">
        <v>1463.9654902626801</v>
      </c>
      <c r="D9" s="8">
        <v>3.5885960059022599</v>
      </c>
      <c r="E9" s="12">
        <v>1.2470112981045401E-4</v>
      </c>
      <c r="F9" s="8" t="s">
        <v>5589</v>
      </c>
      <c r="G9" s="12" t="s">
        <v>5590</v>
      </c>
      <c r="H9" s="12">
        <v>1</v>
      </c>
      <c r="I9" s="13" t="str">
        <f>HYPERLINK("http://www.ncbi.nlm.nih.gov/gene/182", "182")</f>
        <v>182</v>
      </c>
      <c r="J9" s="13" t="str">
        <f>HYPERLINK("http://www.ncbi.nlm.nih.gov/nuccore/NM_000214", "NM_000214")</f>
        <v>NM_000214</v>
      </c>
      <c r="K9" s="12" t="s">
        <v>5591</v>
      </c>
      <c r="L9" s="13" t="str">
        <f>HYPERLINK("http://asia.ensembl.org/Homo_sapiens/Gene/Summary?g=ENSG00000101384", "ENSG00000101384")</f>
        <v>ENSG00000101384</v>
      </c>
      <c r="M9" s="12" t="s">
        <v>13836</v>
      </c>
      <c r="N9" s="12" t="s">
        <v>13837</v>
      </c>
    </row>
    <row r="10" spans="1:14">
      <c r="A10" s="12" t="s">
        <v>6878</v>
      </c>
      <c r="B10" s="8">
        <v>1424.96862700939</v>
      </c>
      <c r="C10" s="12">
        <v>123.899253671862</v>
      </c>
      <c r="D10" s="8">
        <v>3.52369075406131</v>
      </c>
      <c r="E10" s="12">
        <v>3.8373486637317899E-5</v>
      </c>
      <c r="F10" s="8" t="s">
        <v>6879</v>
      </c>
      <c r="G10" s="12" t="s">
        <v>14295</v>
      </c>
      <c r="H10" s="12">
        <v>1</v>
      </c>
      <c r="I10" s="13" t="str">
        <f>HYPERLINK("http://www.ncbi.nlm.nih.gov/gene/26585", "26585")</f>
        <v>26585</v>
      </c>
      <c r="J10" s="12" t="s">
        <v>14296</v>
      </c>
      <c r="K10" s="12" t="s">
        <v>14297</v>
      </c>
      <c r="L10" s="13" t="str">
        <f>HYPERLINK("http://asia.ensembl.org/Homo_sapiens/Gene/Summary?g=ENSG00000166923", "ENSG00000166923")</f>
        <v>ENSG00000166923</v>
      </c>
      <c r="M10" s="12" t="s">
        <v>14298</v>
      </c>
      <c r="N10" s="12" t="s">
        <v>14299</v>
      </c>
    </row>
    <row r="11" spans="1:14">
      <c r="A11" s="12" t="s">
        <v>10791</v>
      </c>
      <c r="B11" s="8">
        <v>720.68800205389596</v>
      </c>
      <c r="C11" s="12">
        <v>65.110166498981798</v>
      </c>
      <c r="D11" s="8">
        <v>3.46842009482044</v>
      </c>
      <c r="E11" s="12">
        <v>2.4897995917390202E-3</v>
      </c>
      <c r="F11" s="8" t="s">
        <v>4116</v>
      </c>
      <c r="G11" s="12" t="s">
        <v>13166</v>
      </c>
      <c r="H11" s="12">
        <v>1</v>
      </c>
      <c r="I11" s="13" t="str">
        <f>HYPERLINK("http://www.ncbi.nlm.nih.gov/gene/79441", "79441")</f>
        <v>79441</v>
      </c>
      <c r="J11" s="13" t="str">
        <f>HYPERLINK("http://www.ncbi.nlm.nih.gov/nuccore/NM_024511", "NM_024511")</f>
        <v>NM_024511</v>
      </c>
      <c r="K11" s="12" t="s">
        <v>4117</v>
      </c>
      <c r="L11" s="13" t="str">
        <f>HYPERLINK("http://asia.ensembl.org/Homo_sapiens/Gene/Summary?g=ENSG00000214367", "ENSG00000214367")</f>
        <v>ENSG00000214367</v>
      </c>
      <c r="M11" s="12" t="s">
        <v>13167</v>
      </c>
      <c r="N11" s="12" t="s">
        <v>13168</v>
      </c>
    </row>
    <row r="12" spans="1:14">
      <c r="A12" s="12" t="s">
        <v>10566</v>
      </c>
      <c r="B12" s="8">
        <v>569.37439174173505</v>
      </c>
      <c r="C12" s="12">
        <v>52.5768014119759</v>
      </c>
      <c r="D12" s="8">
        <v>3.4368793264589201</v>
      </c>
      <c r="E12" s="12">
        <v>3.1002448151340998E-4</v>
      </c>
      <c r="F12" s="8" t="s">
        <v>8414</v>
      </c>
      <c r="G12" s="12" t="s">
        <v>8415</v>
      </c>
      <c r="H12" s="12">
        <v>1</v>
      </c>
      <c r="I12" s="13" t="str">
        <f>HYPERLINK("http://www.ncbi.nlm.nih.gov/gene/79747", "79747")</f>
        <v>79747</v>
      </c>
      <c r="J12" s="13" t="str">
        <f>HYPERLINK("http://www.ncbi.nlm.nih.gov/nuccore/NM_024694", "NM_024694")</f>
        <v>NM_024694</v>
      </c>
      <c r="K12" s="12" t="s">
        <v>8416</v>
      </c>
      <c r="L12" s="13" t="str">
        <f>HYPERLINK("http://asia.ensembl.org/Homo_sapiens/Gene/Summary?g=ENSG00000118492", "ENSG00000118492")</f>
        <v>ENSG00000118492</v>
      </c>
      <c r="M12" s="12" t="s">
        <v>15568</v>
      </c>
      <c r="N12" s="12" t="s">
        <v>15569</v>
      </c>
    </row>
    <row r="13" spans="1:14">
      <c r="A13" s="12" t="s">
        <v>11133</v>
      </c>
      <c r="B13" s="8">
        <v>1519.6570762290701</v>
      </c>
      <c r="C13" s="12">
        <v>141.11860151902999</v>
      </c>
      <c r="D13" s="8">
        <v>3.4287657296456899</v>
      </c>
      <c r="E13" s="12">
        <v>2.85853806627112E-3</v>
      </c>
      <c r="F13" s="8" t="s">
        <v>2179</v>
      </c>
      <c r="G13" s="12" t="s">
        <v>2180</v>
      </c>
      <c r="H13" s="12">
        <v>1</v>
      </c>
      <c r="I13" s="13" t="str">
        <f>HYPERLINK("http://www.ncbi.nlm.nih.gov/gene/347902", "347902")</f>
        <v>347902</v>
      </c>
      <c r="J13" s="13" t="str">
        <f>HYPERLINK("http://www.ncbi.nlm.nih.gov/nuccore/NM_001143668", "NM_001143668")</f>
        <v>NM_001143668</v>
      </c>
      <c r="K13" s="12" t="s">
        <v>2181</v>
      </c>
      <c r="L13" s="13" t="str">
        <f>HYPERLINK("http://asia.ensembl.org/Homo_sapiens/Gene/Summary?g=ENSG00000139211", "ENSG00000139211")</f>
        <v>ENSG00000139211</v>
      </c>
      <c r="M13" s="12" t="s">
        <v>12562</v>
      </c>
      <c r="N13" s="12" t="s">
        <v>12563</v>
      </c>
    </row>
    <row r="14" spans="1:14">
      <c r="A14" s="12" t="s">
        <v>2662</v>
      </c>
      <c r="B14" s="8">
        <v>16173.950584719099</v>
      </c>
      <c r="C14" s="12">
        <v>1549.4872469730101</v>
      </c>
      <c r="D14" s="8">
        <v>3.3838093227866901</v>
      </c>
      <c r="E14" s="12">
        <v>3.0934681893031701E-4</v>
      </c>
      <c r="F14" s="8" t="s">
        <v>2663</v>
      </c>
      <c r="G14" s="12" t="s">
        <v>2664</v>
      </c>
      <c r="H14" s="12">
        <v>1</v>
      </c>
      <c r="I14" s="13" t="str">
        <f>HYPERLINK("http://www.ncbi.nlm.nih.gov/gene/55273", "55273")</f>
        <v>55273</v>
      </c>
      <c r="J14" s="12" t="s">
        <v>12732</v>
      </c>
      <c r="K14" s="12" t="s">
        <v>12733</v>
      </c>
      <c r="L14" s="13" t="str">
        <f>HYPERLINK("http://asia.ensembl.org/Homo_sapiens/Gene/Summary?g=ENSG00000166292", "ENSG00000166292")</f>
        <v>ENSG00000166292</v>
      </c>
      <c r="M14" s="12" t="s">
        <v>12734</v>
      </c>
      <c r="N14" s="12" t="s">
        <v>12735</v>
      </c>
    </row>
    <row r="15" spans="1:14">
      <c r="A15" s="12" t="s">
        <v>10873</v>
      </c>
      <c r="B15" s="8">
        <v>478.53793890883401</v>
      </c>
      <c r="C15" s="12">
        <v>49.999999999999901</v>
      </c>
      <c r="D15" s="8">
        <v>3.25863330737773</v>
      </c>
      <c r="E15" s="12">
        <v>5.8762006035102496E-6</v>
      </c>
      <c r="F15" s="8" t="s">
        <v>10874</v>
      </c>
      <c r="G15" s="12" t="s">
        <v>10875</v>
      </c>
      <c r="H15" s="12">
        <v>4</v>
      </c>
      <c r="I15" s="12" t="s">
        <v>10876</v>
      </c>
      <c r="J15" s="12" t="s">
        <v>15942</v>
      </c>
      <c r="K15" s="12" t="s">
        <v>15943</v>
      </c>
      <c r="L15" s="12" t="s">
        <v>10877</v>
      </c>
      <c r="M15" s="12" t="s">
        <v>15944</v>
      </c>
      <c r="N15" s="12" t="s">
        <v>15945</v>
      </c>
    </row>
    <row r="16" spans="1:14">
      <c r="A16" s="12" t="s">
        <v>7738</v>
      </c>
      <c r="B16" s="8">
        <v>566.92631201744098</v>
      </c>
      <c r="C16" s="12">
        <v>60.299920145333303</v>
      </c>
      <c r="D16" s="8">
        <v>3.2329332319590001</v>
      </c>
      <c r="E16" s="12">
        <v>3.8982035081117799E-4</v>
      </c>
      <c r="F16" s="8" t="s">
        <v>20226</v>
      </c>
      <c r="G16" s="12" t="s">
        <v>2985</v>
      </c>
      <c r="H16" s="12">
        <v>1</v>
      </c>
      <c r="I16" s="13" t="str">
        <f>HYPERLINK("http://www.ncbi.nlm.nih.gov/gene/65217", "65217")</f>
        <v>65217</v>
      </c>
      <c r="J16" s="12" t="s">
        <v>14527</v>
      </c>
      <c r="K16" s="12" t="s">
        <v>14528</v>
      </c>
      <c r="L16" s="13" t="str">
        <f>HYPERLINK("http://asia.ensembl.org/Homo_sapiens/Gene/Summary?g=ENSG00000150275", "ENSG00000150275")</f>
        <v>ENSG00000150275</v>
      </c>
      <c r="M16" s="12" t="s">
        <v>14529</v>
      </c>
      <c r="N16" s="12" t="s">
        <v>14530</v>
      </c>
    </row>
    <row r="17" spans="1:14">
      <c r="A17" s="12" t="s">
        <v>2556</v>
      </c>
      <c r="B17" s="8">
        <v>1835.8818999259499</v>
      </c>
      <c r="C17" s="12">
        <v>205.781495334624</v>
      </c>
      <c r="D17" s="8">
        <v>3.15728809442292</v>
      </c>
      <c r="E17" s="12">
        <v>9.8883772627723194E-4</v>
      </c>
      <c r="F17" s="8" t="s">
        <v>2557</v>
      </c>
      <c r="G17" s="12" t="s">
        <v>12685</v>
      </c>
      <c r="H17" s="12">
        <v>1</v>
      </c>
      <c r="I17" s="13" t="str">
        <f>HYPERLINK("http://www.ncbi.nlm.nih.gov/gene/55089", "55089")</f>
        <v>55089</v>
      </c>
      <c r="J17" s="12" t="s">
        <v>12686</v>
      </c>
      <c r="K17" s="12" t="s">
        <v>12687</v>
      </c>
      <c r="L17" s="13" t="str">
        <f>HYPERLINK("http://asia.ensembl.org/Homo_sapiens/Gene/Summary?g=ENSG00000139209", "ENSG00000139209")</f>
        <v>ENSG00000139209</v>
      </c>
      <c r="M17" s="12" t="s">
        <v>12688</v>
      </c>
      <c r="N17" s="12" t="s">
        <v>12689</v>
      </c>
    </row>
    <row r="18" spans="1:14">
      <c r="A18" s="12" t="s">
        <v>7723</v>
      </c>
      <c r="B18" s="8">
        <v>3420.17579696031</v>
      </c>
      <c r="C18" s="12">
        <v>401.03139127396003</v>
      </c>
      <c r="D18" s="8">
        <v>3.09228340639384</v>
      </c>
      <c r="E18" s="12">
        <v>8.6350213350416003E-4</v>
      </c>
      <c r="F18" s="8" t="s">
        <v>7724</v>
      </c>
      <c r="G18" s="12" t="s">
        <v>7725</v>
      </c>
      <c r="H18" s="12">
        <v>1</v>
      </c>
      <c r="I18" s="13" t="str">
        <f>HYPERLINK("http://www.ncbi.nlm.nih.gov/gene/258", "258")</f>
        <v>258</v>
      </c>
      <c r="J18" s="13" t="str">
        <f>HYPERLINK("http://www.ncbi.nlm.nih.gov/nuccore/NM_016519", "NM_016519")</f>
        <v>NM_016519</v>
      </c>
      <c r="K18" s="12" t="s">
        <v>7726</v>
      </c>
      <c r="L18" s="13" t="str">
        <f>HYPERLINK("http://asia.ensembl.org/Homo_sapiens/Gene/Summary?g=ENSG00000178522", "ENSG00000178522")</f>
        <v>ENSG00000178522</v>
      </c>
      <c r="M18" s="12" t="s">
        <v>14518</v>
      </c>
      <c r="N18" s="12" t="s">
        <v>14519</v>
      </c>
    </row>
    <row r="19" spans="1:14">
      <c r="A19" s="12" t="s">
        <v>4806</v>
      </c>
      <c r="B19" s="8">
        <v>421.58222380636403</v>
      </c>
      <c r="C19" s="12">
        <v>50</v>
      </c>
      <c r="D19" s="8">
        <v>3.0758140364080599</v>
      </c>
      <c r="E19" s="12">
        <v>3.0770957951157897E-5</v>
      </c>
      <c r="F19" s="8" t="s">
        <v>4807</v>
      </c>
      <c r="G19" s="12" t="s">
        <v>13402</v>
      </c>
      <c r="H19" s="12">
        <v>1</v>
      </c>
      <c r="I19" s="13" t="str">
        <f>HYPERLINK("http://www.ncbi.nlm.nih.gov/gene/257218", "257218")</f>
        <v>257218</v>
      </c>
      <c r="J19" s="12" t="s">
        <v>13403</v>
      </c>
      <c r="K19" s="12" t="s">
        <v>13404</v>
      </c>
      <c r="L19" s="13" t="str">
        <f>HYPERLINK("http://asia.ensembl.org/Homo_sapiens/Gene/Summary?g=ENSG00000146414", "ENSG00000146414")</f>
        <v>ENSG00000146414</v>
      </c>
      <c r="M19" s="12" t="s">
        <v>13405</v>
      </c>
      <c r="N19" s="12" t="s">
        <v>13406</v>
      </c>
    </row>
    <row r="20" spans="1:14">
      <c r="A20" s="12" t="s">
        <v>6461</v>
      </c>
      <c r="B20" s="8">
        <v>691.697111934845</v>
      </c>
      <c r="C20" s="12">
        <v>82.792600816635499</v>
      </c>
      <c r="D20" s="8">
        <v>3.0625666879118398</v>
      </c>
      <c r="E20" s="12">
        <v>2.6887173781152299E-4</v>
      </c>
      <c r="F20" s="8" t="s">
        <v>6462</v>
      </c>
      <c r="G20" s="12" t="s">
        <v>6463</v>
      </c>
      <c r="H20" s="12">
        <v>1</v>
      </c>
      <c r="I20" s="13" t="str">
        <f>HYPERLINK("http://www.ncbi.nlm.nih.gov/gene/8842", "8842")</f>
        <v>8842</v>
      </c>
      <c r="J20" s="12" t="s">
        <v>14191</v>
      </c>
      <c r="K20" s="12" t="s">
        <v>14192</v>
      </c>
      <c r="L20" s="13" t="str">
        <f>HYPERLINK("http://asia.ensembl.org/Homo_sapiens/Gene/Summary?g=ENSG00000007062", "ENSG00000007062")</f>
        <v>ENSG00000007062</v>
      </c>
      <c r="M20" s="12" t="s">
        <v>14193</v>
      </c>
      <c r="N20" s="12" t="s">
        <v>14194</v>
      </c>
    </row>
    <row r="21" spans="1:14">
      <c r="A21" s="12" t="s">
        <v>11219</v>
      </c>
      <c r="B21" s="8">
        <v>1268.86740613045</v>
      </c>
      <c r="C21" s="12">
        <v>158.00388747695999</v>
      </c>
      <c r="D21" s="8">
        <v>3.00550935902048</v>
      </c>
      <c r="E21" s="12">
        <v>4.8229054018811297E-5</v>
      </c>
      <c r="F21" s="8" t="s">
        <v>358</v>
      </c>
      <c r="G21" s="12" t="s">
        <v>16040</v>
      </c>
      <c r="H21" s="12">
        <v>1</v>
      </c>
      <c r="I21" s="13" t="str">
        <f>HYPERLINK("http://www.ncbi.nlm.nih.gov/gene/83544", "83544")</f>
        <v>83544</v>
      </c>
      <c r="J21" s="12" t="s">
        <v>16041</v>
      </c>
      <c r="K21" s="12" t="s">
        <v>16042</v>
      </c>
      <c r="L21" s="13" t="str">
        <f>HYPERLINK("http://asia.ensembl.org/Homo_sapiens/Gene/Summary?g=ENSG00000119661", "ENSG00000119661")</f>
        <v>ENSG00000119661</v>
      </c>
      <c r="M21" s="12" t="s">
        <v>16043</v>
      </c>
      <c r="N21" s="12" t="s">
        <v>16044</v>
      </c>
    </row>
    <row r="22" spans="1:14">
      <c r="A22" s="12" t="s">
        <v>10655</v>
      </c>
      <c r="B22" s="8">
        <v>1023.57660609531</v>
      </c>
      <c r="C22" s="12">
        <v>131.59377444864401</v>
      </c>
      <c r="D22" s="8">
        <v>2.9594559364415902</v>
      </c>
      <c r="E22" s="12">
        <v>1.0930911350697701E-3</v>
      </c>
      <c r="F22" s="8" t="s">
        <v>4643</v>
      </c>
      <c r="G22" s="12" t="s">
        <v>4644</v>
      </c>
      <c r="H22" s="12">
        <v>1</v>
      </c>
      <c r="I22" s="13" t="str">
        <f>HYPERLINK("http://www.ncbi.nlm.nih.gov/gene/6546", "6546")</f>
        <v>6546</v>
      </c>
      <c r="J22" s="12" t="s">
        <v>15680</v>
      </c>
      <c r="K22" s="12" t="s">
        <v>15681</v>
      </c>
      <c r="L22" s="13" t="str">
        <f>HYPERLINK("http://asia.ensembl.org/Homo_sapiens/Gene/Summary?g=ENSG00000183023", "ENSG00000183023")</f>
        <v>ENSG00000183023</v>
      </c>
      <c r="M22" s="12" t="s">
        <v>15682</v>
      </c>
      <c r="N22" s="12" t="s">
        <v>15683</v>
      </c>
    </row>
    <row r="23" spans="1:14">
      <c r="A23" s="12" t="s">
        <v>7618</v>
      </c>
      <c r="B23" s="8">
        <v>1552.8321344756901</v>
      </c>
      <c r="C23" s="12">
        <v>201.13046536578901</v>
      </c>
      <c r="D23" s="8">
        <v>2.9486983494717598</v>
      </c>
      <c r="E23" s="12">
        <v>8.4124937166288999E-4</v>
      </c>
      <c r="F23" s="8" t="s">
        <v>7619</v>
      </c>
      <c r="G23" s="12" t="s">
        <v>14481</v>
      </c>
      <c r="H23" s="12">
        <v>1</v>
      </c>
      <c r="I23" s="13" t="str">
        <f>HYPERLINK("http://www.ncbi.nlm.nih.gov/gene/653188", "653188")</f>
        <v>653188</v>
      </c>
      <c r="J23" s="13" t="str">
        <f>HYPERLINK("http://www.ncbi.nlm.nih.gov/nuccore/NR_027386", "NR_027386")</f>
        <v>NR_027386</v>
      </c>
      <c r="K23" s="12" t="s">
        <v>199</v>
      </c>
      <c r="L23" s="12" t="s">
        <v>38</v>
      </c>
      <c r="M23" s="12" t="s">
        <v>38</v>
      </c>
      <c r="N23" s="12" t="s">
        <v>38</v>
      </c>
    </row>
    <row r="24" spans="1:14">
      <c r="A24" s="12" t="s">
        <v>4223</v>
      </c>
      <c r="B24" s="8">
        <v>637.09051680792402</v>
      </c>
      <c r="C24" s="12">
        <v>83.468469996694097</v>
      </c>
      <c r="D24" s="8">
        <v>2.9321951316582799</v>
      </c>
      <c r="E24" s="12">
        <v>2.7872251499869898E-4</v>
      </c>
      <c r="F24" s="8" t="s">
        <v>4224</v>
      </c>
      <c r="G24" s="12" t="s">
        <v>4225</v>
      </c>
      <c r="H24" s="12">
        <v>1</v>
      </c>
      <c r="I24" s="13" t="str">
        <f>HYPERLINK("http://www.ncbi.nlm.nih.gov/gene/59307", "59307")</f>
        <v>59307</v>
      </c>
      <c r="J24" s="12" t="s">
        <v>13172</v>
      </c>
      <c r="K24" s="12" t="s">
        <v>13173</v>
      </c>
      <c r="L24" s="13" t="str">
        <f>HYPERLINK("http://asia.ensembl.org/Homo_sapiens/Gene/Summary?g=ENSG00000185187", "ENSG00000185187")</f>
        <v>ENSG00000185187</v>
      </c>
      <c r="M24" s="12" t="s">
        <v>13174</v>
      </c>
      <c r="N24" s="12" t="s">
        <v>13175</v>
      </c>
    </row>
    <row r="25" spans="1:14">
      <c r="A25" s="12" t="s">
        <v>9880</v>
      </c>
      <c r="B25" s="8">
        <v>6267.91632635107</v>
      </c>
      <c r="C25" s="12">
        <v>830.687347640555</v>
      </c>
      <c r="D25" s="8">
        <v>2.91560843491945</v>
      </c>
      <c r="E25" s="12">
        <v>1.3025233900341999E-3</v>
      </c>
      <c r="F25" s="8" t="s">
        <v>1409</v>
      </c>
      <c r="G25" s="12" t="s">
        <v>1410</v>
      </c>
      <c r="H25" s="12">
        <v>1</v>
      </c>
      <c r="I25" s="13" t="str">
        <f>HYPERLINK("http://www.ncbi.nlm.nih.gov/gene/168667", "168667")</f>
        <v>168667</v>
      </c>
      <c r="J25" s="13" t="str">
        <f>HYPERLINK("http://www.ncbi.nlm.nih.gov/nuccore/NM_133468", "NM_133468")</f>
        <v>NM_133468</v>
      </c>
      <c r="K25" s="12" t="s">
        <v>1411</v>
      </c>
      <c r="L25" s="13" t="str">
        <f>HYPERLINK("http://asia.ensembl.org/Homo_sapiens/Gene/Summary?g=ENSG00000164619", "ENSG00000164619")</f>
        <v>ENSG00000164619</v>
      </c>
      <c r="M25" s="12" t="s">
        <v>15233</v>
      </c>
      <c r="N25" s="12" t="s">
        <v>15234</v>
      </c>
    </row>
    <row r="26" spans="1:14">
      <c r="A26" s="12" t="s">
        <v>10634</v>
      </c>
      <c r="B26" s="8">
        <v>943.74066133392898</v>
      </c>
      <c r="C26" s="12">
        <v>126.094676257066</v>
      </c>
      <c r="D26" s="8">
        <v>2.9038830973166001</v>
      </c>
      <c r="E26" s="12">
        <v>1.4339391837127E-3</v>
      </c>
      <c r="F26" s="8" t="s">
        <v>5397</v>
      </c>
      <c r="G26" s="12" t="s">
        <v>13723</v>
      </c>
      <c r="H26" s="12">
        <v>1</v>
      </c>
      <c r="I26" s="13" t="str">
        <f>HYPERLINK("http://www.ncbi.nlm.nih.gov/gene/5337", "5337")</f>
        <v>5337</v>
      </c>
      <c r="J26" s="12" t="s">
        <v>13724</v>
      </c>
      <c r="K26" s="12" t="s">
        <v>13725</v>
      </c>
      <c r="L26" s="13" t="str">
        <f>HYPERLINK("http://asia.ensembl.org/Homo_sapiens/Gene/Summary?g=ENSG00000075651", "ENSG00000075651")</f>
        <v>ENSG00000075651</v>
      </c>
      <c r="M26" s="12" t="s">
        <v>13726</v>
      </c>
      <c r="N26" s="12" t="s">
        <v>13727</v>
      </c>
    </row>
    <row r="27" spans="1:14">
      <c r="A27" s="12" t="s">
        <v>3375</v>
      </c>
      <c r="B27" s="8">
        <v>1081.66817117349</v>
      </c>
      <c r="C27" s="12">
        <v>147.81210763175699</v>
      </c>
      <c r="D27" s="8">
        <v>2.8714216302426401</v>
      </c>
      <c r="E27" s="12">
        <v>1.35987664899644E-3</v>
      </c>
      <c r="F27" s="8" t="s">
        <v>3376</v>
      </c>
      <c r="G27" s="12" t="s">
        <v>3377</v>
      </c>
      <c r="H27" s="12">
        <v>1</v>
      </c>
      <c r="I27" s="13" t="str">
        <f>HYPERLINK("http://www.ncbi.nlm.nih.gov/gene/10117", "10117")</f>
        <v>10117</v>
      </c>
      <c r="J27" s="13" t="str">
        <f>HYPERLINK("http://www.ncbi.nlm.nih.gov/nuccore/NM_031889", "NM_031889")</f>
        <v>NM_031889</v>
      </c>
      <c r="K27" s="12" t="s">
        <v>3378</v>
      </c>
      <c r="L27" s="13" t="str">
        <f>HYPERLINK("http://asia.ensembl.org/Homo_sapiens/Gene/Summary?g=ENSG00000132464", "ENSG00000132464")</f>
        <v>ENSG00000132464</v>
      </c>
      <c r="M27" s="12" t="s">
        <v>12958</v>
      </c>
      <c r="N27" s="12" t="s">
        <v>3379</v>
      </c>
    </row>
    <row r="28" spans="1:14">
      <c r="A28" s="12" t="s">
        <v>7928</v>
      </c>
      <c r="B28" s="8">
        <v>364.77214929600501</v>
      </c>
      <c r="C28" s="12">
        <v>49.999999999999901</v>
      </c>
      <c r="D28" s="8">
        <v>2.86699558255531</v>
      </c>
      <c r="E28" s="12">
        <v>5.1535755921831297E-4</v>
      </c>
      <c r="F28" s="8" t="s">
        <v>7929</v>
      </c>
      <c r="G28" s="12" t="s">
        <v>7930</v>
      </c>
      <c r="H28" s="12">
        <v>4</v>
      </c>
      <c r="I28" s="12" t="s">
        <v>7931</v>
      </c>
      <c r="J28" s="12" t="s">
        <v>14612</v>
      </c>
      <c r="K28" s="12" t="s">
        <v>14613</v>
      </c>
      <c r="L28" s="12" t="s">
        <v>7932</v>
      </c>
      <c r="M28" s="12" t="s">
        <v>14614</v>
      </c>
      <c r="N28" s="12" t="s">
        <v>14615</v>
      </c>
    </row>
    <row r="29" spans="1:14">
      <c r="A29" s="12" t="s">
        <v>9597</v>
      </c>
      <c r="B29" s="8">
        <v>7007.2756575080202</v>
      </c>
      <c r="C29" s="12">
        <v>966.87334735007596</v>
      </c>
      <c r="D29" s="8">
        <v>2.8574548254585901</v>
      </c>
      <c r="E29" s="12">
        <v>5.1852941794342899E-4</v>
      </c>
      <c r="F29" s="8" t="s">
        <v>7022</v>
      </c>
      <c r="G29" s="12" t="s">
        <v>7023</v>
      </c>
      <c r="H29" s="12">
        <v>1</v>
      </c>
      <c r="I29" s="13" t="str">
        <f>HYPERLINK("http://www.ncbi.nlm.nih.gov/gene/57167", "57167")</f>
        <v>57167</v>
      </c>
      <c r="J29" s="13" t="str">
        <f>HYPERLINK("http://www.ncbi.nlm.nih.gov/nuccore/NM_020436", "NM_020436")</f>
        <v>NM_020436</v>
      </c>
      <c r="K29" s="12" t="s">
        <v>7024</v>
      </c>
      <c r="L29" s="13" t="str">
        <f>HYPERLINK("http://asia.ensembl.org/Homo_sapiens/Gene/Summary?g=ENSG00000101115", "ENSG00000101115")</f>
        <v>ENSG00000101115</v>
      </c>
      <c r="M29" s="12" t="s">
        <v>15092</v>
      </c>
      <c r="N29" s="12" t="s">
        <v>15093</v>
      </c>
    </row>
    <row r="30" spans="1:14">
      <c r="A30" s="12" t="s">
        <v>8370</v>
      </c>
      <c r="B30" s="8">
        <v>599.41164553545605</v>
      </c>
      <c r="C30" s="12">
        <v>85.019969980305405</v>
      </c>
      <c r="D30" s="8">
        <v>2.8176734585138399</v>
      </c>
      <c r="E30" s="12">
        <v>3.1368661583294202E-4</v>
      </c>
      <c r="F30" s="8" t="s">
        <v>8371</v>
      </c>
      <c r="G30" s="12" t="s">
        <v>8372</v>
      </c>
      <c r="H30" s="12">
        <v>1</v>
      </c>
      <c r="I30" s="13" t="str">
        <f>HYPERLINK("http://www.ncbi.nlm.nih.gov/gene/9111", "9111")</f>
        <v>9111</v>
      </c>
      <c r="J30" s="13" t="str">
        <f>HYPERLINK("http://www.ncbi.nlm.nih.gov/nuccore/NM_004688", "NM_004688")</f>
        <v>NM_004688</v>
      </c>
      <c r="K30" s="12" t="s">
        <v>8373</v>
      </c>
      <c r="L30" s="13" t="str">
        <f>HYPERLINK("http://asia.ensembl.org/Homo_sapiens/Gene/Summary?g=ENSG00000123609", "ENSG00000123609")</f>
        <v>ENSG00000123609</v>
      </c>
      <c r="M30" s="12" t="s">
        <v>14727</v>
      </c>
      <c r="N30" s="12" t="s">
        <v>14728</v>
      </c>
    </row>
    <row r="31" spans="1:14">
      <c r="A31" s="12" t="s">
        <v>5988</v>
      </c>
      <c r="B31" s="8">
        <v>7333.4853813015698</v>
      </c>
      <c r="C31" s="12">
        <v>1052.09775480387</v>
      </c>
      <c r="D31" s="8">
        <v>2.80123027248665</v>
      </c>
      <c r="E31" s="12">
        <v>1.0467796703609201E-3</v>
      </c>
      <c r="F31" s="8" t="s">
        <v>5989</v>
      </c>
      <c r="G31" s="12" t="s">
        <v>5990</v>
      </c>
      <c r="H31" s="12">
        <v>1</v>
      </c>
      <c r="I31" s="13" t="str">
        <f>HYPERLINK("http://www.ncbi.nlm.nih.gov/gene/122786", "122786")</f>
        <v>122786</v>
      </c>
      <c r="J31" s="12" t="s">
        <v>13996</v>
      </c>
      <c r="K31" s="12" t="s">
        <v>13997</v>
      </c>
      <c r="L31" s="13" t="str">
        <f>HYPERLINK("http://asia.ensembl.org/Homo_sapiens/Gene/Summary?g=ENSG00000139926", "ENSG00000139926")</f>
        <v>ENSG00000139926</v>
      </c>
      <c r="M31" s="12" t="s">
        <v>13998</v>
      </c>
      <c r="N31" s="12" t="s">
        <v>13999</v>
      </c>
    </row>
    <row r="32" spans="1:14">
      <c r="A32" s="12" t="s">
        <v>2852</v>
      </c>
      <c r="B32" s="8">
        <v>4153.8618048693197</v>
      </c>
      <c r="C32" s="12">
        <v>596.99423431439004</v>
      </c>
      <c r="D32" s="8">
        <v>2.79866431652865</v>
      </c>
      <c r="E32" s="12">
        <v>1.0660469825614499E-3</v>
      </c>
      <c r="F32" s="8" t="s">
        <v>2853</v>
      </c>
      <c r="G32" s="12" t="s">
        <v>12802</v>
      </c>
      <c r="H32" s="12">
        <v>1</v>
      </c>
      <c r="I32" s="13" t="str">
        <f>HYPERLINK("http://www.ncbi.nlm.nih.gov/gene/23022", "23022")</f>
        <v>23022</v>
      </c>
      <c r="J32" s="12" t="s">
        <v>12803</v>
      </c>
      <c r="K32" s="12" t="s">
        <v>12804</v>
      </c>
      <c r="L32" s="13" t="str">
        <f>HYPERLINK("http://asia.ensembl.org/Homo_sapiens/Gene/Summary?g=ENSG00000129116", "ENSG00000129116")</f>
        <v>ENSG00000129116</v>
      </c>
      <c r="M32" s="12" t="s">
        <v>12805</v>
      </c>
      <c r="N32" s="12" t="s">
        <v>12806</v>
      </c>
    </row>
    <row r="33" spans="1:14">
      <c r="A33" s="12" t="s">
        <v>8980</v>
      </c>
      <c r="B33" s="8">
        <v>358.29873015614203</v>
      </c>
      <c r="C33" s="12">
        <v>53.709102137385997</v>
      </c>
      <c r="D33" s="8">
        <v>2.7379244214412002</v>
      </c>
      <c r="E33" s="12">
        <v>2.7710894060312E-4</v>
      </c>
      <c r="F33" s="8" t="s">
        <v>8981</v>
      </c>
      <c r="G33" s="12" t="s">
        <v>8982</v>
      </c>
      <c r="H33" s="12">
        <v>1</v>
      </c>
      <c r="I33" s="13" t="str">
        <f>HYPERLINK("http://www.ncbi.nlm.nih.gov/gene/80310", "80310")</f>
        <v>80310</v>
      </c>
      <c r="J33" s="12" t="s">
        <v>14958</v>
      </c>
      <c r="K33" s="12" t="s">
        <v>14959</v>
      </c>
      <c r="L33" s="13" t="str">
        <f>HYPERLINK("http://asia.ensembl.org/Homo_sapiens/Gene/Summary?g=ENSG00000170962", "ENSG00000170962")</f>
        <v>ENSG00000170962</v>
      </c>
      <c r="M33" s="12" t="s">
        <v>14960</v>
      </c>
      <c r="N33" s="12" t="s">
        <v>14961</v>
      </c>
    </row>
    <row r="34" spans="1:14">
      <c r="A34" s="12" t="s">
        <v>10486</v>
      </c>
      <c r="B34" s="8">
        <v>3635.3964359305601</v>
      </c>
      <c r="C34" s="12">
        <v>551.91257238889102</v>
      </c>
      <c r="D34" s="8">
        <v>2.71960104186982</v>
      </c>
      <c r="E34" s="12">
        <v>6.6940973109952005E-4</v>
      </c>
      <c r="F34" s="8" t="s">
        <v>8981</v>
      </c>
      <c r="G34" s="12" t="s">
        <v>8982</v>
      </c>
      <c r="H34" s="12">
        <v>1</v>
      </c>
      <c r="I34" s="13" t="str">
        <f>HYPERLINK("http://www.ncbi.nlm.nih.gov/gene/80310", "80310")</f>
        <v>80310</v>
      </c>
      <c r="J34" s="12" t="s">
        <v>14958</v>
      </c>
      <c r="K34" s="12" t="s">
        <v>14959</v>
      </c>
      <c r="L34" s="13" t="str">
        <f>HYPERLINK("http://asia.ensembl.org/Homo_sapiens/Gene/Summary?g=ENSG00000170962", "ENSG00000170962")</f>
        <v>ENSG00000170962</v>
      </c>
      <c r="M34" s="12" t="s">
        <v>14960</v>
      </c>
      <c r="N34" s="12" t="s">
        <v>14961</v>
      </c>
    </row>
    <row r="35" spans="1:14">
      <c r="A35" s="12" t="s">
        <v>5354</v>
      </c>
      <c r="B35" s="8">
        <v>371.42123265647399</v>
      </c>
      <c r="C35" s="12">
        <v>56.626574363047197</v>
      </c>
      <c r="D35" s="8">
        <v>2.71350512927062</v>
      </c>
      <c r="E35" s="12">
        <v>2.14068391824022E-3</v>
      </c>
      <c r="F35" s="8" t="s">
        <v>5355</v>
      </c>
      <c r="G35" s="12" t="s">
        <v>5356</v>
      </c>
      <c r="H35" s="12">
        <v>1</v>
      </c>
      <c r="I35" s="13" t="str">
        <f>HYPERLINK("http://www.ncbi.nlm.nih.gov/gene/64167", "64167")</f>
        <v>64167</v>
      </c>
      <c r="J35" s="12" t="s">
        <v>13701</v>
      </c>
      <c r="K35" s="12" t="s">
        <v>13702</v>
      </c>
      <c r="L35" s="13" t="str">
        <f>HYPERLINK("http://asia.ensembl.org/Homo_sapiens/Gene/Summary?g=ENSG00000164308", "ENSG00000164308")</f>
        <v>ENSG00000164308</v>
      </c>
      <c r="M35" s="12" t="s">
        <v>13703</v>
      </c>
      <c r="N35" s="12" t="s">
        <v>13704</v>
      </c>
    </row>
    <row r="36" spans="1:14">
      <c r="A36" s="12" t="s">
        <v>7664</v>
      </c>
      <c r="B36" s="8">
        <v>15055.2599406996</v>
      </c>
      <c r="C36" s="12">
        <v>2334.0896440790302</v>
      </c>
      <c r="D36" s="8">
        <v>2.6893357415169499</v>
      </c>
      <c r="E36" s="12">
        <v>6.6301848635537397E-4</v>
      </c>
      <c r="F36" s="8" t="s">
        <v>7665</v>
      </c>
      <c r="G36" s="12" t="s">
        <v>7666</v>
      </c>
      <c r="H36" s="12">
        <v>1</v>
      </c>
      <c r="I36" s="13" t="str">
        <f>HYPERLINK("http://www.ncbi.nlm.nih.gov/gene/10625", "10625")</f>
        <v>10625</v>
      </c>
      <c r="J36" s="13" t="str">
        <f>HYPERLINK("http://www.ncbi.nlm.nih.gov/nuccore/NM_006469", "NM_006469")</f>
        <v>NM_006469</v>
      </c>
      <c r="K36" s="12" t="s">
        <v>7667</v>
      </c>
      <c r="L36" s="13" t="str">
        <f>HYPERLINK("http://asia.ensembl.org/Homo_sapiens/Gene/Summary?g=ENSG00000116679", "ENSG00000116679")</f>
        <v>ENSG00000116679</v>
      </c>
      <c r="M36" s="12" t="s">
        <v>14509</v>
      </c>
      <c r="N36" s="12" t="s">
        <v>14510</v>
      </c>
    </row>
    <row r="37" spans="1:14">
      <c r="A37" s="12" t="s">
        <v>3538</v>
      </c>
      <c r="B37" s="8">
        <v>4894.9620015563096</v>
      </c>
      <c r="C37" s="12">
        <v>763.10936021203895</v>
      </c>
      <c r="D37" s="8">
        <v>2.68133593282628</v>
      </c>
      <c r="E37" s="12">
        <v>5.5521505548013499E-4</v>
      </c>
      <c r="F37" s="8" t="s">
        <v>3539</v>
      </c>
      <c r="G37" s="12" t="s">
        <v>3540</v>
      </c>
      <c r="H37" s="12">
        <v>1</v>
      </c>
      <c r="I37" s="13" t="str">
        <f>HYPERLINK("http://www.ncbi.nlm.nih.gov/gene/8325", "8325")</f>
        <v>8325</v>
      </c>
      <c r="J37" s="13" t="str">
        <f>HYPERLINK("http://www.ncbi.nlm.nih.gov/nuccore/NM_031866", "NM_031866")</f>
        <v>NM_031866</v>
      </c>
      <c r="K37" s="12" t="s">
        <v>3541</v>
      </c>
      <c r="L37" s="13" t="str">
        <f>HYPERLINK("http://asia.ensembl.org/Homo_sapiens/Gene/Summary?g=ENSG00000177283", "ENSG00000177283")</f>
        <v>ENSG00000177283</v>
      </c>
      <c r="M37" s="12" t="s">
        <v>3542</v>
      </c>
      <c r="N37" s="12" t="s">
        <v>3543</v>
      </c>
    </row>
    <row r="38" spans="1:14">
      <c r="A38" s="12" t="s">
        <v>8179</v>
      </c>
      <c r="B38" s="8">
        <v>1375.62600673058</v>
      </c>
      <c r="C38" s="12">
        <v>216.430210498055</v>
      </c>
      <c r="D38" s="8">
        <v>2.66811449842973</v>
      </c>
      <c r="E38" s="12">
        <v>1.6141307033365E-3</v>
      </c>
      <c r="F38" s="8" t="s">
        <v>8180</v>
      </c>
      <c r="G38" s="12" t="s">
        <v>8181</v>
      </c>
      <c r="H38" s="12">
        <v>1</v>
      </c>
      <c r="I38" s="13" t="str">
        <f>HYPERLINK("http://www.ncbi.nlm.nih.gov/gene/10763", "10763")</f>
        <v>10763</v>
      </c>
      <c r="J38" s="13" t="str">
        <f>HYPERLINK("http://www.ncbi.nlm.nih.gov/nuccore/NM_006617", "NM_006617")</f>
        <v>NM_006617</v>
      </c>
      <c r="K38" s="12" t="s">
        <v>8182</v>
      </c>
      <c r="L38" s="13" t="str">
        <f>HYPERLINK("http://asia.ensembl.org/Homo_sapiens/Gene/Summary?g=ENSG00000132688", "ENSG00000132688")</f>
        <v>ENSG00000132688</v>
      </c>
      <c r="M38" s="12" t="s">
        <v>8183</v>
      </c>
      <c r="N38" s="12" t="s">
        <v>8184</v>
      </c>
    </row>
    <row r="39" spans="1:14">
      <c r="A39" s="12" t="s">
        <v>5964</v>
      </c>
      <c r="B39" s="8">
        <v>5719.7383763838197</v>
      </c>
      <c r="C39" s="12">
        <v>907.23698961258901</v>
      </c>
      <c r="D39" s="8">
        <v>2.6563977911894199</v>
      </c>
      <c r="E39" s="12">
        <v>8.8473318306432202E-4</v>
      </c>
      <c r="F39" s="8" t="s">
        <v>5965</v>
      </c>
      <c r="G39" s="12" t="s">
        <v>5966</v>
      </c>
      <c r="H39" s="12">
        <v>1</v>
      </c>
      <c r="I39" s="13" t="str">
        <f>HYPERLINK("http://www.ncbi.nlm.nih.gov/gene/54552", "54552")</f>
        <v>54552</v>
      </c>
      <c r="J39" s="12" t="s">
        <v>13983</v>
      </c>
      <c r="K39" s="12" t="s">
        <v>13984</v>
      </c>
      <c r="L39" s="13" t="str">
        <f>HYPERLINK("http://asia.ensembl.org/Homo_sapiens/Gene/Summary?g=ENSG00000130119", "ENSG00000130119")</f>
        <v>ENSG00000130119</v>
      </c>
      <c r="M39" s="12" t="s">
        <v>13985</v>
      </c>
      <c r="N39" s="12" t="s">
        <v>13986</v>
      </c>
    </row>
    <row r="40" spans="1:14">
      <c r="A40" s="12" t="s">
        <v>965</v>
      </c>
      <c r="B40" s="8">
        <v>495.39092122068001</v>
      </c>
      <c r="C40" s="12">
        <v>78.773283508567999</v>
      </c>
      <c r="D40" s="8">
        <v>2.6527891113051498</v>
      </c>
      <c r="E40" s="12">
        <v>5.4397099928582703E-5</v>
      </c>
      <c r="F40" s="8" t="s">
        <v>966</v>
      </c>
      <c r="G40" s="12" t="s">
        <v>12174</v>
      </c>
      <c r="H40" s="12">
        <v>1</v>
      </c>
      <c r="I40" s="13" t="str">
        <f>HYPERLINK("http://www.ncbi.nlm.nih.gov/gene/9037", "9037")</f>
        <v>9037</v>
      </c>
      <c r="J40" s="13" t="str">
        <f>HYPERLINK("http://www.ncbi.nlm.nih.gov/nuccore/NM_003966", "NM_003966")</f>
        <v>NM_003966</v>
      </c>
      <c r="K40" s="12" t="s">
        <v>967</v>
      </c>
      <c r="L40" s="13" t="str">
        <f>HYPERLINK("http://asia.ensembl.org/Homo_sapiens/Gene/Summary?g=ENSG00000112902", "ENSG00000112902")</f>
        <v>ENSG00000112902</v>
      </c>
      <c r="M40" s="12" t="s">
        <v>12175</v>
      </c>
      <c r="N40" s="12" t="s">
        <v>12176</v>
      </c>
    </row>
    <row r="41" spans="1:14">
      <c r="A41" s="12" t="s">
        <v>9366</v>
      </c>
      <c r="B41" s="8">
        <v>820.16134265141704</v>
      </c>
      <c r="C41" s="12">
        <v>130.94950915645899</v>
      </c>
      <c r="D41" s="8">
        <v>2.6468970935347702</v>
      </c>
      <c r="E41" s="12">
        <v>1.0860935715535601E-4</v>
      </c>
      <c r="F41" s="8" t="s">
        <v>9367</v>
      </c>
      <c r="G41" s="12" t="s">
        <v>2661</v>
      </c>
      <c r="H41" s="12">
        <v>1</v>
      </c>
      <c r="I41" s="13" t="str">
        <f>HYPERLINK("http://www.ncbi.nlm.nih.gov/gene/283652", "283652")</f>
        <v>283652</v>
      </c>
      <c r="J41" s="13" t="str">
        <f>HYPERLINK("http://www.ncbi.nlm.nih.gov/nuccore/NM_205850", "NM_205850")</f>
        <v>NM_205850</v>
      </c>
      <c r="K41" s="12" t="s">
        <v>9368</v>
      </c>
      <c r="L41" s="13" t="str">
        <f>HYPERLINK("http://asia.ensembl.org/Homo_sapiens/Gene/Summary?g=ENSG00000188467", "ENSG00000188467")</f>
        <v>ENSG00000188467</v>
      </c>
      <c r="M41" s="12" t="s">
        <v>15027</v>
      </c>
      <c r="N41" s="12" t="s">
        <v>15028</v>
      </c>
    </row>
    <row r="42" spans="1:14">
      <c r="A42" s="12" t="s">
        <v>10769</v>
      </c>
      <c r="B42" s="8">
        <v>1823.4541525791301</v>
      </c>
      <c r="C42" s="12">
        <v>300.07800454732399</v>
      </c>
      <c r="D42" s="8">
        <v>2.6032644465487902</v>
      </c>
      <c r="E42" s="12">
        <v>1.0506176539947999E-3</v>
      </c>
      <c r="F42" s="8" t="s">
        <v>6701</v>
      </c>
      <c r="G42" s="12" t="s">
        <v>6702</v>
      </c>
      <c r="H42" s="12">
        <v>1</v>
      </c>
      <c r="I42" s="13" t="str">
        <f>HYPERLINK("http://www.ncbi.nlm.nih.gov/gene/131368", "131368")</f>
        <v>131368</v>
      </c>
      <c r="J42" s="13" t="str">
        <f>HYPERLINK("http://www.ncbi.nlm.nih.gov/nuccore/NM_175056", "NM_175056")</f>
        <v>NM_175056</v>
      </c>
      <c r="K42" s="12" t="s">
        <v>6703</v>
      </c>
      <c r="L42" s="13" t="str">
        <f>HYPERLINK("http://asia.ensembl.org/Homo_sapiens/Gene/Summary?g=ENSG00000170044", "ENSG00000170044")</f>
        <v>ENSG00000170044</v>
      </c>
      <c r="M42" s="12" t="s">
        <v>15850</v>
      </c>
      <c r="N42" s="12" t="s">
        <v>15851</v>
      </c>
    </row>
    <row r="43" spans="1:14">
      <c r="A43" s="12" t="s">
        <v>3176</v>
      </c>
      <c r="B43" s="8">
        <v>344.42423704595501</v>
      </c>
      <c r="C43" s="12">
        <v>56.825874642596602</v>
      </c>
      <c r="D43" s="8">
        <v>2.5995667786412202</v>
      </c>
      <c r="E43" s="12">
        <v>5.0664852678534403E-4</v>
      </c>
      <c r="F43" s="8" t="s">
        <v>3177</v>
      </c>
      <c r="G43" s="12" t="s">
        <v>12892</v>
      </c>
      <c r="H43" s="12">
        <v>1</v>
      </c>
      <c r="I43" s="13" t="str">
        <f>HYPERLINK("http://www.ncbi.nlm.nih.gov/gene/151354", "151354")</f>
        <v>151354</v>
      </c>
      <c r="J43" s="13" t="str">
        <f>HYPERLINK("http://www.ncbi.nlm.nih.gov/nuccore/NM_145175", "NM_145175")</f>
        <v>NM_145175</v>
      </c>
      <c r="K43" s="12" t="s">
        <v>3178</v>
      </c>
      <c r="L43" s="13" t="str">
        <f>HYPERLINK("http://asia.ensembl.org/Homo_sapiens/Gene/Summary?g=ENSG00000162981", "ENSG00000162981")</f>
        <v>ENSG00000162981</v>
      </c>
      <c r="M43" s="12" t="s">
        <v>12893</v>
      </c>
      <c r="N43" s="12" t="s">
        <v>12894</v>
      </c>
    </row>
    <row r="44" spans="1:14">
      <c r="A44" s="12" t="s">
        <v>4812</v>
      </c>
      <c r="B44" s="8">
        <v>1928.22866466253</v>
      </c>
      <c r="C44" s="12">
        <v>322.79231031585499</v>
      </c>
      <c r="D44" s="8">
        <v>2.5785980322495199</v>
      </c>
      <c r="E44" s="12">
        <v>3.1670001150346599E-3</v>
      </c>
      <c r="F44" s="8" t="s">
        <v>4813</v>
      </c>
      <c r="G44" s="12" t="s">
        <v>4814</v>
      </c>
      <c r="H44" s="12">
        <v>1</v>
      </c>
      <c r="I44" s="13" t="str">
        <f>HYPERLINK("http://www.ncbi.nlm.nih.gov/gene/25938", "25938")</f>
        <v>25938</v>
      </c>
      <c r="J44" s="13" t="str">
        <f>HYPERLINK("http://www.ncbi.nlm.nih.gov/nuccore/NM_015473", "NM_015473")</f>
        <v>NM_015473</v>
      </c>
      <c r="K44" s="12" t="s">
        <v>4815</v>
      </c>
      <c r="L44" s="13" t="str">
        <f>HYPERLINK("http://asia.ensembl.org/Homo_sapiens/Gene/Summary?g=ENSG00000129493", "ENSG00000129493")</f>
        <v>ENSG00000129493</v>
      </c>
      <c r="M44" s="12" t="s">
        <v>13409</v>
      </c>
      <c r="N44" s="12" t="s">
        <v>13410</v>
      </c>
    </row>
    <row r="45" spans="1:14">
      <c r="A45" s="12" t="s">
        <v>11831</v>
      </c>
      <c r="B45" s="8">
        <v>1642.3740022279401</v>
      </c>
      <c r="C45" s="12">
        <v>276.91263200347902</v>
      </c>
      <c r="D45" s="8">
        <v>2.5682799236084</v>
      </c>
      <c r="E45" s="12">
        <v>2.47026573943239E-3</v>
      </c>
      <c r="F45" s="8" t="s">
        <v>8420</v>
      </c>
      <c r="G45" s="12" t="s">
        <v>8421</v>
      </c>
      <c r="H45" s="12">
        <v>1</v>
      </c>
      <c r="I45" s="13" t="str">
        <f>HYPERLINK("http://www.ncbi.nlm.nih.gov/gene/64097", "64097")</f>
        <v>64097</v>
      </c>
      <c r="J45" s="13" t="str">
        <f>HYPERLINK("http://www.ncbi.nlm.nih.gov/nuccore/NM_022140", "NM_022140")</f>
        <v>NM_022140</v>
      </c>
      <c r="K45" s="12" t="s">
        <v>8422</v>
      </c>
      <c r="L45" s="13" t="str">
        <f>HYPERLINK("http://asia.ensembl.org/Homo_sapiens/Gene/Summary?g=ENSG00000129595", "ENSG00000129595")</f>
        <v>ENSG00000129595</v>
      </c>
      <c r="M45" s="12" t="s">
        <v>16216</v>
      </c>
      <c r="N45" s="12" t="s">
        <v>16217</v>
      </c>
    </row>
    <row r="46" spans="1:14">
      <c r="A46" s="12" t="s">
        <v>11761</v>
      </c>
      <c r="B46" s="8">
        <v>1550.9639528156999</v>
      </c>
      <c r="C46" s="12">
        <v>262.60714125682898</v>
      </c>
      <c r="D46" s="8">
        <v>2.5621871018664799</v>
      </c>
      <c r="E46" s="12">
        <v>1.3596747494042799E-3</v>
      </c>
      <c r="F46" s="8" t="s">
        <v>11762</v>
      </c>
      <c r="G46" s="12" t="s">
        <v>16187</v>
      </c>
      <c r="H46" s="12">
        <v>1</v>
      </c>
      <c r="I46" s="13" t="str">
        <f>HYPERLINK("http://www.ncbi.nlm.nih.gov/gene/7481", "7481")</f>
        <v>7481</v>
      </c>
      <c r="J46" s="13" t="str">
        <f>HYPERLINK("http://www.ncbi.nlm.nih.gov/nuccore/NM_004626", "NM_004626")</f>
        <v>NM_004626</v>
      </c>
      <c r="K46" s="12" t="s">
        <v>11763</v>
      </c>
      <c r="L46" s="13" t="str">
        <f>HYPERLINK("http://asia.ensembl.org/Homo_sapiens/Gene/Summary?g=ENSG00000085741", "ENSG00000085741")</f>
        <v>ENSG00000085741</v>
      </c>
      <c r="M46" s="12" t="s">
        <v>16188</v>
      </c>
      <c r="N46" s="12" t="s">
        <v>16189</v>
      </c>
    </row>
    <row r="47" spans="1:14">
      <c r="A47" s="12" t="s">
        <v>3930</v>
      </c>
      <c r="B47" s="8">
        <v>1128.89360702269</v>
      </c>
      <c r="C47" s="12">
        <v>192.36495003367901</v>
      </c>
      <c r="D47" s="8">
        <v>2.5529916641270001</v>
      </c>
      <c r="E47" s="12">
        <v>2.0158900702038499E-4</v>
      </c>
      <c r="F47" s="8" t="s">
        <v>3931</v>
      </c>
      <c r="G47" s="12" t="s">
        <v>3932</v>
      </c>
      <c r="H47" s="12">
        <v>1</v>
      </c>
      <c r="I47" s="13" t="str">
        <f>HYPERLINK("http://www.ncbi.nlm.nih.gov/gene/100505876", "100505876")</f>
        <v>100505876</v>
      </c>
      <c r="J47" s="12" t="s">
        <v>13128</v>
      </c>
      <c r="K47" s="12" t="s">
        <v>13129</v>
      </c>
      <c r="L47" s="12" t="s">
        <v>38</v>
      </c>
      <c r="M47" s="12" t="s">
        <v>38</v>
      </c>
      <c r="N47" s="12" t="s">
        <v>38</v>
      </c>
    </row>
    <row r="48" spans="1:14">
      <c r="A48" s="12" t="s">
        <v>11179</v>
      </c>
      <c r="B48" s="8">
        <v>26916.889408278901</v>
      </c>
      <c r="C48" s="12">
        <v>4595.6839773710999</v>
      </c>
      <c r="D48" s="8">
        <v>2.5501601982184501</v>
      </c>
      <c r="E48" s="12">
        <v>6.4498812322789001E-4</v>
      </c>
      <c r="F48" s="8" t="s">
        <v>2064</v>
      </c>
      <c r="G48" s="12" t="s">
        <v>2065</v>
      </c>
      <c r="H48" s="12">
        <v>1</v>
      </c>
      <c r="I48" s="13" t="str">
        <f>HYPERLINK("http://www.ncbi.nlm.nih.gov/gene/115207", "115207")</f>
        <v>115207</v>
      </c>
      <c r="J48" s="13" t="str">
        <f>HYPERLINK("http://www.ncbi.nlm.nih.gov/nuccore/NM_138444", "NM_138444")</f>
        <v>NM_138444</v>
      </c>
      <c r="K48" s="12" t="s">
        <v>2066</v>
      </c>
      <c r="L48" s="13" t="str">
        <f>HYPERLINK("http://asia.ensembl.org/Homo_sapiens/Gene/Summary?g=ENSG00000178695", "ENSG00000178695")</f>
        <v>ENSG00000178695</v>
      </c>
      <c r="M48" s="12" t="s">
        <v>2067</v>
      </c>
      <c r="N48" s="12" t="s">
        <v>2068</v>
      </c>
    </row>
    <row r="49" spans="1:14">
      <c r="A49" s="12" t="s">
        <v>1038</v>
      </c>
      <c r="B49" s="8">
        <v>6659.8304926497603</v>
      </c>
      <c r="C49" s="12">
        <v>1145.3267488039701</v>
      </c>
      <c r="D49" s="8">
        <v>2.53972621633091</v>
      </c>
      <c r="E49" s="12">
        <v>1.05618049547462E-3</v>
      </c>
      <c r="F49" s="8" t="s">
        <v>1039</v>
      </c>
      <c r="G49" s="12" t="s">
        <v>1040</v>
      </c>
      <c r="H49" s="12">
        <v>1</v>
      </c>
      <c r="I49" s="13" t="str">
        <f>HYPERLINK("http://www.ncbi.nlm.nih.gov/gene/1948", "1948")</f>
        <v>1948</v>
      </c>
      <c r="J49" s="13" t="str">
        <f>HYPERLINK("http://www.ncbi.nlm.nih.gov/nuccore/NM_004093", "NM_004093")</f>
        <v>NM_004093</v>
      </c>
      <c r="K49" s="12" t="s">
        <v>1041</v>
      </c>
      <c r="L49" s="13" t="str">
        <f>HYPERLINK("http://asia.ensembl.org/Homo_sapiens/Gene/Summary?g=ENSG00000125266", "ENSG00000125266")</f>
        <v>ENSG00000125266</v>
      </c>
      <c r="M49" s="12" t="s">
        <v>1042</v>
      </c>
      <c r="N49" s="12" t="s">
        <v>1043</v>
      </c>
    </row>
    <row r="50" spans="1:14">
      <c r="A50" s="12" t="s">
        <v>11082</v>
      </c>
      <c r="B50" s="8">
        <v>2436.1970361858298</v>
      </c>
      <c r="C50" s="12">
        <v>421.25510383973898</v>
      </c>
      <c r="D50" s="8">
        <v>2.5318647501986602</v>
      </c>
      <c r="E50" s="12">
        <v>1.0321244381624199E-3</v>
      </c>
      <c r="F50" s="8" t="s">
        <v>10240</v>
      </c>
      <c r="G50" s="12" t="s">
        <v>10241</v>
      </c>
      <c r="H50" s="12">
        <v>1</v>
      </c>
      <c r="I50" s="13" t="str">
        <f>HYPERLINK("http://www.ncbi.nlm.nih.gov/gene/1525", "1525")</f>
        <v>1525</v>
      </c>
      <c r="J50" s="13" t="str">
        <f>HYPERLINK("http://www.ncbi.nlm.nih.gov/nuccore/NM_001207066", "NM_001207066")</f>
        <v>NM_001207066</v>
      </c>
      <c r="K50" s="12" t="s">
        <v>11083</v>
      </c>
      <c r="L50" s="13" t="str">
        <f>HYPERLINK("http://asia.ensembl.org/Homo_sapiens/Gene/Summary?g=ENSG00000154639", "ENSG00000154639")</f>
        <v>ENSG00000154639</v>
      </c>
      <c r="M50" s="12" t="s">
        <v>15334</v>
      </c>
      <c r="N50" s="12" t="s">
        <v>15335</v>
      </c>
    </row>
    <row r="51" spans="1:14">
      <c r="A51" s="12" t="s">
        <v>4038</v>
      </c>
      <c r="B51" s="8">
        <v>4081.1338618126902</v>
      </c>
      <c r="C51" s="12">
        <v>705.78995606102001</v>
      </c>
      <c r="D51" s="8">
        <v>2.53165922728336</v>
      </c>
      <c r="E51" s="12">
        <v>4.9817818113692496E-4</v>
      </c>
      <c r="F51" s="8" t="s">
        <v>4039</v>
      </c>
      <c r="G51" s="12" t="s">
        <v>4040</v>
      </c>
      <c r="H51" s="12">
        <v>1</v>
      </c>
      <c r="I51" s="13" t="str">
        <f>HYPERLINK("http://www.ncbi.nlm.nih.gov/gene/23627", "23627")</f>
        <v>23627</v>
      </c>
      <c r="J51" s="13" t="str">
        <f>HYPERLINK("http://www.ncbi.nlm.nih.gov/nuccore/NM_012409", "NM_012409")</f>
        <v>NM_012409</v>
      </c>
      <c r="K51" s="12" t="s">
        <v>4041</v>
      </c>
      <c r="L51" s="13" t="str">
        <f>HYPERLINK("http://asia.ensembl.org/Homo_sapiens/Gene/Summary?g=ENSG00000171864", "ENSG00000171864")</f>
        <v>ENSG00000171864</v>
      </c>
      <c r="M51" s="12" t="s">
        <v>4042</v>
      </c>
      <c r="N51" s="12" t="s">
        <v>4043</v>
      </c>
    </row>
    <row r="52" spans="1:14">
      <c r="A52" s="12" t="s">
        <v>2912</v>
      </c>
      <c r="B52" s="8">
        <v>10137.6208503567</v>
      </c>
      <c r="C52" s="12">
        <v>1762.6432446566901</v>
      </c>
      <c r="D52" s="8">
        <v>2.5239067020537398</v>
      </c>
      <c r="E52" s="12">
        <v>5.36001976871413E-4</v>
      </c>
      <c r="F52" s="8" t="s">
        <v>2913</v>
      </c>
      <c r="G52" s="12" t="s">
        <v>2914</v>
      </c>
      <c r="H52" s="12">
        <v>1</v>
      </c>
      <c r="I52" s="13" t="str">
        <f>HYPERLINK("http://www.ncbi.nlm.nih.gov/gene/340419", "340419")</f>
        <v>340419</v>
      </c>
      <c r="J52" s="13" t="str">
        <f>HYPERLINK("http://www.ncbi.nlm.nih.gov/nuccore/NM_178565", "NM_178565")</f>
        <v>NM_178565</v>
      </c>
      <c r="K52" s="12" t="s">
        <v>2915</v>
      </c>
      <c r="L52" s="13" t="str">
        <f>HYPERLINK("http://asia.ensembl.org/Homo_sapiens/Gene/Summary?g=ENSG00000147655", "ENSG00000147655")</f>
        <v>ENSG00000147655</v>
      </c>
      <c r="M52" s="12" t="s">
        <v>12838</v>
      </c>
      <c r="N52" s="12" t="s">
        <v>12839</v>
      </c>
    </row>
    <row r="53" spans="1:14">
      <c r="A53" s="12" t="s">
        <v>7947</v>
      </c>
      <c r="B53" s="8">
        <v>284.55291931436602</v>
      </c>
      <c r="C53" s="12">
        <v>50</v>
      </c>
      <c r="D53" s="8">
        <v>2.50869698059075</v>
      </c>
      <c r="E53" s="12">
        <v>3.8281142344843001E-4</v>
      </c>
      <c r="F53" s="8" t="s">
        <v>7948</v>
      </c>
      <c r="G53" s="12" t="s">
        <v>14617</v>
      </c>
      <c r="H53" s="12">
        <v>4</v>
      </c>
      <c r="I53" s="12" t="s">
        <v>7949</v>
      </c>
      <c r="J53" s="12" t="s">
        <v>14618</v>
      </c>
      <c r="K53" s="12" t="s">
        <v>14619</v>
      </c>
      <c r="L53" s="12" t="s">
        <v>7950</v>
      </c>
      <c r="M53" s="12" t="s">
        <v>14620</v>
      </c>
      <c r="N53" s="12" t="s">
        <v>14621</v>
      </c>
    </row>
    <row r="54" spans="1:14">
      <c r="A54" s="12" t="s">
        <v>600</v>
      </c>
      <c r="B54" s="8">
        <v>677.015860952617</v>
      </c>
      <c r="C54" s="12">
        <v>122.081562185591</v>
      </c>
      <c r="D54" s="8">
        <v>2.4713443048002199</v>
      </c>
      <c r="E54" s="12">
        <v>5.2400798055495801E-3</v>
      </c>
      <c r="F54" s="8" t="s">
        <v>601</v>
      </c>
      <c r="G54" s="12" t="s">
        <v>602</v>
      </c>
      <c r="H54" s="12">
        <v>1</v>
      </c>
      <c r="I54" s="13" t="str">
        <f>HYPERLINK("http://www.ncbi.nlm.nih.gov/gene/646324", "646324")</f>
        <v>646324</v>
      </c>
      <c r="J54" s="13" t="str">
        <f>HYPERLINK("http://www.ncbi.nlm.nih.gov/nuccore/NR_037195", "NR_037195")</f>
        <v>NR_037195</v>
      </c>
      <c r="K54" s="12" t="s">
        <v>199</v>
      </c>
      <c r="L54" s="13" t="str">
        <f>HYPERLINK("http://asia.ensembl.org/Homo_sapiens/Gene/Summary?g=ENSG00000235770", "ENSG00000235770")</f>
        <v>ENSG00000235770</v>
      </c>
      <c r="M54" s="12" t="s">
        <v>12050</v>
      </c>
    </row>
    <row r="55" spans="1:14">
      <c r="A55" s="12" t="s">
        <v>10574</v>
      </c>
      <c r="B55" s="8">
        <v>1347.1255439894001</v>
      </c>
      <c r="C55" s="12">
        <v>244.09044595779301</v>
      </c>
      <c r="D55" s="8">
        <v>2.46439657532604</v>
      </c>
      <c r="E55" s="12">
        <v>1.34359282695966E-3</v>
      </c>
      <c r="F55" s="8" t="s">
        <v>2714</v>
      </c>
      <c r="G55" s="12" t="s">
        <v>2715</v>
      </c>
      <c r="H55" s="12">
        <v>1</v>
      </c>
      <c r="I55" s="13" t="str">
        <f>HYPERLINK("http://www.ncbi.nlm.nih.gov/gene/9848", "9848")</f>
        <v>9848</v>
      </c>
      <c r="J55" s="12" t="s">
        <v>15586</v>
      </c>
      <c r="K55" s="12" t="s">
        <v>15587</v>
      </c>
      <c r="L55" s="13" t="str">
        <f>HYPERLINK("http://asia.ensembl.org/Homo_sapiens/Gene/Summary?g=ENSG00000198948", "ENSG00000198948")</f>
        <v>ENSG00000198948</v>
      </c>
      <c r="M55" s="12" t="s">
        <v>15588</v>
      </c>
      <c r="N55" s="12" t="s">
        <v>15589</v>
      </c>
    </row>
    <row r="56" spans="1:14">
      <c r="A56" s="12" t="s">
        <v>10646</v>
      </c>
      <c r="B56" s="8">
        <v>696.52524711421995</v>
      </c>
      <c r="C56" s="12">
        <v>126.50675146089399</v>
      </c>
      <c r="D56" s="8">
        <v>2.4609612662031202</v>
      </c>
      <c r="E56" s="12">
        <v>1.2157686505319999E-3</v>
      </c>
      <c r="F56" s="8" t="s">
        <v>5718</v>
      </c>
      <c r="G56" s="12" t="s">
        <v>5719</v>
      </c>
      <c r="H56" s="12">
        <v>1</v>
      </c>
      <c r="I56" s="13" t="str">
        <f>HYPERLINK("http://www.ncbi.nlm.nih.gov/gene/54842", "54842")</f>
        <v>54842</v>
      </c>
      <c r="J56" s="13" t="str">
        <f>HYPERLINK("http://www.ncbi.nlm.nih.gov/nuccore/NM_017694", "NM_017694")</f>
        <v>NM_017694</v>
      </c>
      <c r="K56" s="12" t="s">
        <v>5720</v>
      </c>
      <c r="L56" s="13" t="str">
        <f>HYPERLINK("http://asia.ensembl.org/Homo_sapiens/Gene/Summary?g=ENSG00000151690", "ENSG00000151690")</f>
        <v>ENSG00000151690</v>
      </c>
      <c r="M56" s="12" t="s">
        <v>15668</v>
      </c>
      <c r="N56" s="12" t="s">
        <v>15669</v>
      </c>
    </row>
    <row r="57" spans="1:14">
      <c r="A57" s="12" t="s">
        <v>4549</v>
      </c>
      <c r="B57" s="8">
        <v>3389.0816765272398</v>
      </c>
      <c r="C57" s="12">
        <v>620.07072347211204</v>
      </c>
      <c r="D57" s="8">
        <v>2.4503897264283201</v>
      </c>
      <c r="E57" s="12">
        <v>1.5067324668078001E-3</v>
      </c>
      <c r="F57" s="8" t="s">
        <v>4550</v>
      </c>
      <c r="G57" s="12" t="s">
        <v>4551</v>
      </c>
      <c r="H57" s="12">
        <v>1</v>
      </c>
      <c r="I57" s="13" t="str">
        <f>HYPERLINK("http://www.ncbi.nlm.nih.gov/gene/9456", "9456")</f>
        <v>9456</v>
      </c>
      <c r="J57" s="13" t="str">
        <f>HYPERLINK("http://www.ncbi.nlm.nih.gov/nuccore/NM_004272", "NM_004272")</f>
        <v>NM_004272</v>
      </c>
      <c r="K57" s="12" t="s">
        <v>4552</v>
      </c>
      <c r="L57" s="13" t="str">
        <f>HYPERLINK("http://asia.ensembl.org/Homo_sapiens/Gene/Summary?g=ENSG00000152413", "ENSG00000152413")</f>
        <v>ENSG00000152413</v>
      </c>
      <c r="M57" s="12" t="s">
        <v>13282</v>
      </c>
      <c r="N57" s="12" t="s">
        <v>13283</v>
      </c>
    </row>
    <row r="58" spans="1:14">
      <c r="A58" s="12" t="s">
        <v>3187</v>
      </c>
      <c r="B58" s="8">
        <v>547.84582141342798</v>
      </c>
      <c r="C58" s="12">
        <v>100.329716592181</v>
      </c>
      <c r="D58" s="8">
        <v>2.4490209568885999</v>
      </c>
      <c r="E58" s="12">
        <v>5.8172309607937495E-4</v>
      </c>
      <c r="F58" s="8" t="s">
        <v>3188</v>
      </c>
      <c r="G58" s="12" t="s">
        <v>12897</v>
      </c>
      <c r="H58" s="12">
        <v>1</v>
      </c>
      <c r="I58" s="13" t="str">
        <f>HYPERLINK("http://www.ncbi.nlm.nih.gov/gene/7223", "7223")</f>
        <v>7223</v>
      </c>
      <c r="J58" s="12" t="s">
        <v>12898</v>
      </c>
      <c r="K58" s="12" t="s">
        <v>12899</v>
      </c>
      <c r="L58" s="13" t="str">
        <f>HYPERLINK("http://asia.ensembl.org/Homo_sapiens/Gene/Summary?g=ENSG00000133107", "ENSG00000133107")</f>
        <v>ENSG00000133107</v>
      </c>
      <c r="M58" s="12" t="s">
        <v>12900</v>
      </c>
      <c r="N58" s="12" t="s">
        <v>12901</v>
      </c>
    </row>
    <row r="59" spans="1:14">
      <c r="A59" s="12" t="s">
        <v>9500</v>
      </c>
      <c r="B59" s="8">
        <v>922.86880614363702</v>
      </c>
      <c r="C59" s="12">
        <v>169.53834612457899</v>
      </c>
      <c r="D59" s="8">
        <v>2.4445139522188799</v>
      </c>
      <c r="E59" s="12">
        <v>1.08603858610942E-3</v>
      </c>
      <c r="F59" s="8" t="s">
        <v>9501</v>
      </c>
      <c r="G59" s="12" t="s">
        <v>15055</v>
      </c>
      <c r="H59" s="12">
        <v>1</v>
      </c>
      <c r="I59" s="13" t="str">
        <f>HYPERLINK("http://www.ncbi.nlm.nih.gov/gene/2173", "2173")</f>
        <v>2173</v>
      </c>
      <c r="J59" s="13" t="str">
        <f>HYPERLINK("http://www.ncbi.nlm.nih.gov/nuccore/NM_001446", "NM_001446")</f>
        <v>NM_001446</v>
      </c>
      <c r="K59" s="12" t="s">
        <v>9502</v>
      </c>
      <c r="L59" s="13" t="str">
        <f>HYPERLINK("http://asia.ensembl.org/Homo_sapiens/Gene/Summary?g=ENSG00000164434", "ENSG00000164434")</f>
        <v>ENSG00000164434</v>
      </c>
      <c r="M59" s="12" t="s">
        <v>15056</v>
      </c>
      <c r="N59" s="12" t="s">
        <v>15057</v>
      </c>
    </row>
    <row r="60" spans="1:14">
      <c r="A60" s="12" t="s">
        <v>3691</v>
      </c>
      <c r="B60" s="8">
        <v>712.62455563580602</v>
      </c>
      <c r="C60" s="12">
        <v>133.62747095919599</v>
      </c>
      <c r="D60" s="8">
        <v>2.4149255711062101</v>
      </c>
      <c r="E60" s="12">
        <v>1.63685734718822E-4</v>
      </c>
      <c r="F60" s="8" t="s">
        <v>3692</v>
      </c>
      <c r="G60" s="12" t="s">
        <v>13076</v>
      </c>
      <c r="H60" s="12">
        <v>1</v>
      </c>
      <c r="I60" s="13" t="str">
        <f>HYPERLINK("http://www.ncbi.nlm.nih.gov/gene/3747", "3747")</f>
        <v>3747</v>
      </c>
      <c r="J60" s="12" t="s">
        <v>13077</v>
      </c>
      <c r="K60" s="12" t="s">
        <v>13078</v>
      </c>
      <c r="L60" s="13" t="str">
        <f>HYPERLINK("http://asia.ensembl.org/Homo_sapiens/Gene/Summary?g=ENSG00000166006", "ENSG00000166006")</f>
        <v>ENSG00000166006</v>
      </c>
      <c r="M60" s="12" t="s">
        <v>13079</v>
      </c>
      <c r="N60" s="12" t="s">
        <v>13080</v>
      </c>
    </row>
    <row r="61" spans="1:14">
      <c r="A61" s="12" t="s">
        <v>2236</v>
      </c>
      <c r="B61" s="8">
        <v>1913.45822340563</v>
      </c>
      <c r="C61" s="12">
        <v>361.13850801724902</v>
      </c>
      <c r="D61" s="8">
        <v>2.4055582354963598</v>
      </c>
      <c r="E61" s="12">
        <v>1.2801645378705199E-4</v>
      </c>
      <c r="F61" s="8" t="s">
        <v>2237</v>
      </c>
      <c r="G61" s="12" t="s">
        <v>2238</v>
      </c>
      <c r="H61" s="12">
        <v>1</v>
      </c>
      <c r="I61" s="13" t="str">
        <f>HYPERLINK("http://www.ncbi.nlm.nih.gov/gene/26043", "26043")</f>
        <v>26043</v>
      </c>
      <c r="J61" s="13" t="str">
        <f>HYPERLINK("http://www.ncbi.nlm.nih.gov/nuccore/NM_015562", "NM_015562")</f>
        <v>NM_015562</v>
      </c>
      <c r="K61" s="12" t="s">
        <v>2239</v>
      </c>
      <c r="L61" s="13" t="str">
        <f>HYPERLINK("http://asia.ensembl.org/Homo_sapiens/Gene/Summary?g=ENSG00000163960", "ENSG00000163960")</f>
        <v>ENSG00000163960</v>
      </c>
      <c r="M61" s="12" t="s">
        <v>12573</v>
      </c>
      <c r="N61" s="12" t="s">
        <v>12574</v>
      </c>
    </row>
    <row r="62" spans="1:14">
      <c r="A62" s="12" t="s">
        <v>10568</v>
      </c>
      <c r="B62" s="8">
        <v>1063.3511305136001</v>
      </c>
      <c r="C62" s="12">
        <v>201.77340808557301</v>
      </c>
      <c r="D62" s="8">
        <v>2.3978101117878698</v>
      </c>
      <c r="E62" s="12">
        <v>1.1753765909367599E-3</v>
      </c>
      <c r="F62" s="8" t="s">
        <v>4455</v>
      </c>
      <c r="G62" s="12" t="s">
        <v>4456</v>
      </c>
      <c r="H62" s="12">
        <v>1</v>
      </c>
      <c r="I62" s="13" t="str">
        <f>HYPERLINK("http://www.ncbi.nlm.nih.gov/gene/63926", "63926")</f>
        <v>63926</v>
      </c>
      <c r="J62" s="12" t="s">
        <v>15573</v>
      </c>
      <c r="K62" s="12" t="s">
        <v>15574</v>
      </c>
      <c r="L62" s="13" t="str">
        <f>HYPERLINK("http://asia.ensembl.org/Homo_sapiens/Gene/Summary?g=ENSG00000132623", "ENSG00000132623")</f>
        <v>ENSG00000132623</v>
      </c>
      <c r="M62" s="12" t="s">
        <v>15575</v>
      </c>
      <c r="N62" s="12" t="s">
        <v>15576</v>
      </c>
    </row>
    <row r="63" spans="1:14">
      <c r="A63" s="12" t="s">
        <v>9418</v>
      </c>
      <c r="B63" s="8">
        <v>607.21727246988803</v>
      </c>
      <c r="C63" s="12">
        <v>115.959634521135</v>
      </c>
      <c r="D63" s="8">
        <v>2.38859013774566</v>
      </c>
      <c r="E63" s="12">
        <v>6.5543919447154104E-4</v>
      </c>
      <c r="F63" s="8" t="s">
        <v>9419</v>
      </c>
      <c r="G63" s="12" t="s">
        <v>9420</v>
      </c>
      <c r="H63" s="12">
        <v>1</v>
      </c>
      <c r="I63" s="13" t="str">
        <f>HYPERLINK("http://www.ncbi.nlm.nih.gov/gene/100287284", "100287284")</f>
        <v>100287284</v>
      </c>
      <c r="J63" s="13" t="str">
        <f>HYPERLINK("http://www.ncbi.nlm.nih.gov/nuccore/NM_001146221", "NM_001146221")</f>
        <v>NM_001146221</v>
      </c>
      <c r="K63" s="12" t="s">
        <v>9421</v>
      </c>
      <c r="L63" s="13" t="str">
        <f>HYPERLINK("http://asia.ensembl.org/Homo_sapiens/Gene/Summary?g=ENSG00000205693", "ENSG00000205693")</f>
        <v>ENSG00000205693</v>
      </c>
      <c r="M63" s="12" t="s">
        <v>9422</v>
      </c>
      <c r="N63" s="12" t="s">
        <v>9423</v>
      </c>
    </row>
    <row r="64" spans="1:14">
      <c r="A64" s="12" t="s">
        <v>3503</v>
      </c>
      <c r="B64" s="8">
        <v>2974.5683564821502</v>
      </c>
      <c r="C64" s="12">
        <v>579.80021270825</v>
      </c>
      <c r="D64" s="8">
        <v>2.3590525644520701</v>
      </c>
      <c r="E64" s="12">
        <v>1.6529254890204901E-3</v>
      </c>
      <c r="F64" s="8" t="s">
        <v>3504</v>
      </c>
      <c r="G64" s="12" t="s">
        <v>3505</v>
      </c>
      <c r="H64" s="12">
        <v>1</v>
      </c>
      <c r="I64" s="13" t="str">
        <f>HYPERLINK("http://www.ncbi.nlm.nih.gov/gene/64778", "64778")</f>
        <v>64778</v>
      </c>
      <c r="J64" s="12" t="s">
        <v>13016</v>
      </c>
      <c r="K64" s="12" t="s">
        <v>13017</v>
      </c>
      <c r="L64" s="13" t="str">
        <f>HYPERLINK("http://asia.ensembl.org/Homo_sapiens/Gene/Summary?g=ENSG00000075420", "ENSG00000075420")</f>
        <v>ENSG00000075420</v>
      </c>
      <c r="M64" s="12" t="s">
        <v>13018</v>
      </c>
      <c r="N64" s="12" t="s">
        <v>13019</v>
      </c>
    </row>
    <row r="65" spans="1:14">
      <c r="A65" s="12" t="s">
        <v>8690</v>
      </c>
      <c r="B65" s="8">
        <v>1508.0691080807401</v>
      </c>
      <c r="C65" s="12">
        <v>294.07569872974699</v>
      </c>
      <c r="D65" s="8">
        <v>2.3584430668356</v>
      </c>
      <c r="E65" s="12">
        <v>2.22568508819073E-4</v>
      </c>
      <c r="F65" s="8" t="s">
        <v>2983</v>
      </c>
      <c r="G65" s="12" t="s">
        <v>2984</v>
      </c>
      <c r="H65" s="12">
        <v>1</v>
      </c>
      <c r="I65" s="13" t="str">
        <f>HYPERLINK("http://www.ncbi.nlm.nih.gov/gene/3181", "3181")</f>
        <v>3181</v>
      </c>
      <c r="J65" s="12" t="s">
        <v>14820</v>
      </c>
      <c r="K65" s="12" t="s">
        <v>14821</v>
      </c>
      <c r="L65" s="13" t="str">
        <f>HYPERLINK("http://asia.ensembl.org/Homo_sapiens/Gene/Summary?g=ENSG00000122566", "ENSG00000122566")</f>
        <v>ENSG00000122566</v>
      </c>
      <c r="M65" s="12" t="s">
        <v>14822</v>
      </c>
      <c r="N65" s="12" t="s">
        <v>14823</v>
      </c>
    </row>
    <row r="66" spans="1:14">
      <c r="A66" s="12" t="s">
        <v>2744</v>
      </c>
      <c r="B66" s="8">
        <v>1333.2775311093801</v>
      </c>
      <c r="C66" s="12">
        <v>268.93593205131202</v>
      </c>
      <c r="D66" s="8">
        <v>2.3096426897028901</v>
      </c>
      <c r="E66" s="12">
        <v>1.4376168035784901E-3</v>
      </c>
      <c r="F66" s="8" t="s">
        <v>2745</v>
      </c>
      <c r="G66" s="12" t="s">
        <v>2746</v>
      </c>
      <c r="H66" s="12">
        <v>1</v>
      </c>
      <c r="I66" s="13" t="str">
        <f>HYPERLINK("http://www.ncbi.nlm.nih.gov/gene/10059", "10059")</f>
        <v>10059</v>
      </c>
      <c r="J66" s="12" t="s">
        <v>12767</v>
      </c>
      <c r="K66" s="12" t="s">
        <v>12768</v>
      </c>
      <c r="L66" s="13" t="str">
        <f>HYPERLINK("http://asia.ensembl.org/Homo_sapiens/Gene/Summary?g=ENSG00000087470", "ENSG00000087470")</f>
        <v>ENSG00000087470</v>
      </c>
      <c r="M66" s="12" t="s">
        <v>12769</v>
      </c>
      <c r="N66" s="12" t="s">
        <v>12770</v>
      </c>
    </row>
    <row r="67" spans="1:14">
      <c r="A67" s="12" t="s">
        <v>4881</v>
      </c>
      <c r="B67" s="8">
        <v>594.04283275057003</v>
      </c>
      <c r="C67" s="12">
        <v>120.098587817409</v>
      </c>
      <c r="D67" s="8">
        <v>2.3063477714097802</v>
      </c>
      <c r="E67" s="12">
        <v>5.3323529281542898E-4</v>
      </c>
      <c r="F67" s="8" t="s">
        <v>4882</v>
      </c>
      <c r="G67" s="12" t="s">
        <v>13448</v>
      </c>
      <c r="H67" s="12">
        <v>1</v>
      </c>
      <c r="I67" s="13" t="str">
        <f>HYPERLINK("http://www.ncbi.nlm.nih.gov/gene/57520", "57520")</f>
        <v>57520</v>
      </c>
      <c r="J67" s="13" t="str">
        <f>HYPERLINK("http://www.ncbi.nlm.nih.gov/nuccore/NM_020760", "NM_020760")</f>
        <v>NM_020760</v>
      </c>
      <c r="K67" s="12" t="s">
        <v>4883</v>
      </c>
      <c r="L67" s="13" t="str">
        <f>HYPERLINK("http://asia.ensembl.org/Homo_sapiens/Gene/Summary?g=ENSG00000138411", "ENSG00000138411")</f>
        <v>ENSG00000138411</v>
      </c>
      <c r="M67" s="12" t="s">
        <v>13449</v>
      </c>
      <c r="N67" s="12" t="s">
        <v>13450</v>
      </c>
    </row>
    <row r="68" spans="1:14">
      <c r="A68" s="12" t="s">
        <v>10724</v>
      </c>
      <c r="B68" s="8">
        <v>3059.1541832582102</v>
      </c>
      <c r="C68" s="12">
        <v>620.63225879387596</v>
      </c>
      <c r="D68" s="8">
        <v>2.3013222301165102</v>
      </c>
      <c r="E68" s="12">
        <v>1.2339704023756799E-3</v>
      </c>
      <c r="F68" s="8" t="s">
        <v>36</v>
      </c>
      <c r="G68" s="12" t="s">
        <v>37</v>
      </c>
      <c r="H68" s="12">
        <v>1</v>
      </c>
      <c r="I68" s="13" t="str">
        <f>HYPERLINK("http://www.ncbi.nlm.nih.gov/gene/4133", "4133")</f>
        <v>4133</v>
      </c>
      <c r="J68" s="12" t="s">
        <v>15776</v>
      </c>
      <c r="K68" s="12" t="s">
        <v>15777</v>
      </c>
      <c r="L68" s="13" t="str">
        <f>HYPERLINK("http://asia.ensembl.org/Homo_sapiens/Gene/Summary?g=ENSG00000078018", "ENSG00000078018")</f>
        <v>ENSG00000078018</v>
      </c>
      <c r="M68" s="12" t="s">
        <v>15778</v>
      </c>
      <c r="N68" s="12" t="s">
        <v>15779</v>
      </c>
    </row>
    <row r="69" spans="1:14">
      <c r="A69" s="12" t="s">
        <v>6156</v>
      </c>
      <c r="B69" s="8">
        <v>352.05693938018601</v>
      </c>
      <c r="C69" s="12">
        <v>72.306266929363503</v>
      </c>
      <c r="D69" s="8">
        <v>2.2836161807818698</v>
      </c>
      <c r="E69" s="12">
        <v>3.6917434891776098E-3</v>
      </c>
      <c r="F69" s="8" t="s">
        <v>6157</v>
      </c>
      <c r="G69" s="12" t="s">
        <v>6158</v>
      </c>
      <c r="H69" s="12">
        <v>1</v>
      </c>
      <c r="I69" s="13" t="str">
        <f>HYPERLINK("http://www.ncbi.nlm.nih.gov/gene/84851", "84851")</f>
        <v>84851</v>
      </c>
      <c r="J69" s="13" t="str">
        <f>HYPERLINK("http://www.ncbi.nlm.nih.gov/nuccore/NM_032765", "NM_032765")</f>
        <v>NM_032765</v>
      </c>
      <c r="K69" s="12" t="s">
        <v>6159</v>
      </c>
      <c r="L69" s="13" t="str">
        <f>HYPERLINK("http://asia.ensembl.org/Homo_sapiens/Gene/Summary?g=ENSG00000183718", "ENSG00000183718")</f>
        <v>ENSG00000183718</v>
      </c>
      <c r="M69" s="12" t="s">
        <v>14070</v>
      </c>
      <c r="N69" s="12" t="s">
        <v>6160</v>
      </c>
    </row>
    <row r="70" spans="1:14">
      <c r="A70" s="12" t="s">
        <v>3753</v>
      </c>
      <c r="B70" s="8">
        <v>1234.86447421496</v>
      </c>
      <c r="C70" s="12">
        <v>254.99265678460799</v>
      </c>
      <c r="D70" s="8">
        <v>2.2758251089872399</v>
      </c>
      <c r="E70" s="12">
        <v>2.0057802360746299E-3</v>
      </c>
      <c r="F70" s="8" t="s">
        <v>3754</v>
      </c>
      <c r="G70" s="12" t="s">
        <v>586</v>
      </c>
      <c r="H70" s="12">
        <v>1</v>
      </c>
      <c r="I70" s="13" t="str">
        <f>HYPERLINK("http://www.ncbi.nlm.nih.gov/gene/10602", "10602")</f>
        <v>10602</v>
      </c>
      <c r="J70" s="12" t="s">
        <v>13084</v>
      </c>
      <c r="K70" s="12" t="s">
        <v>13085</v>
      </c>
      <c r="L70" s="13" t="str">
        <f>HYPERLINK("http://asia.ensembl.org/Homo_sapiens/Gene/Summary?g=ENSG00000163171", "ENSG00000163171")</f>
        <v>ENSG00000163171</v>
      </c>
      <c r="M70" s="12" t="s">
        <v>13086</v>
      </c>
      <c r="N70" s="12" t="s">
        <v>13087</v>
      </c>
    </row>
    <row r="71" spans="1:14">
      <c r="A71" s="12" t="s">
        <v>7563</v>
      </c>
      <c r="B71" s="8">
        <v>617.38809517488403</v>
      </c>
      <c r="C71" s="12">
        <v>128.24791168076101</v>
      </c>
      <c r="D71" s="8">
        <v>2.26724233040034</v>
      </c>
      <c r="E71" s="12">
        <v>5.5584696413137898E-6</v>
      </c>
      <c r="F71" s="8" t="s">
        <v>7564</v>
      </c>
      <c r="G71" s="12" t="s">
        <v>7565</v>
      </c>
      <c r="H71" s="12">
        <v>1</v>
      </c>
      <c r="I71" s="13" t="str">
        <f>HYPERLINK("http://www.ncbi.nlm.nih.gov/gene/400713", "400713")</f>
        <v>400713</v>
      </c>
      <c r="J71" s="13" t="str">
        <f>HYPERLINK("http://www.ncbi.nlm.nih.gov/nuccore/NM_001145434", "NM_001145434")</f>
        <v>NM_001145434</v>
      </c>
      <c r="K71" s="12" t="s">
        <v>7566</v>
      </c>
      <c r="L71" s="13" t="str">
        <f>HYPERLINK("http://asia.ensembl.org/Homo_sapiens/Gene/Summary?g=ENSG00000221923", "ENSG00000221923")</f>
        <v>ENSG00000221923</v>
      </c>
      <c r="M71" s="12" t="s">
        <v>14473</v>
      </c>
      <c r="N71" s="12" t="s">
        <v>14474</v>
      </c>
    </row>
    <row r="72" spans="1:14">
      <c r="A72" s="12" t="s">
        <v>10921</v>
      </c>
      <c r="B72" s="8">
        <v>625.04141808180202</v>
      </c>
      <c r="C72" s="12">
        <v>130.24758049601201</v>
      </c>
      <c r="D72" s="8">
        <v>2.2626952194915102</v>
      </c>
      <c r="E72" s="12">
        <v>5.7424555377820397E-5</v>
      </c>
      <c r="F72" s="8" t="s">
        <v>10922</v>
      </c>
      <c r="G72" s="12" t="s">
        <v>15951</v>
      </c>
      <c r="H72" s="12">
        <v>4</v>
      </c>
      <c r="I72" s="12" t="s">
        <v>10923</v>
      </c>
      <c r="J72" s="12" t="s">
        <v>15952</v>
      </c>
      <c r="K72" s="12" t="s">
        <v>15953</v>
      </c>
      <c r="L72" s="12" t="s">
        <v>10924</v>
      </c>
      <c r="M72" s="12" t="s">
        <v>15954</v>
      </c>
      <c r="N72" s="12" t="s">
        <v>15955</v>
      </c>
    </row>
    <row r="73" spans="1:14">
      <c r="A73" s="12" t="s">
        <v>2092</v>
      </c>
      <c r="B73" s="8">
        <v>475.26674903923299</v>
      </c>
      <c r="C73" s="12">
        <v>99.5782611988339</v>
      </c>
      <c r="D73" s="8">
        <v>2.2548347413881</v>
      </c>
      <c r="E73" s="12">
        <v>1.0422699702903399E-2</v>
      </c>
      <c r="F73" s="8" t="s">
        <v>2093</v>
      </c>
      <c r="G73" s="12" t="s">
        <v>12545</v>
      </c>
      <c r="H73" s="12">
        <v>1</v>
      </c>
      <c r="I73" s="13" t="str">
        <f>HYPERLINK("http://www.ncbi.nlm.nih.gov/gene/286499", "286499")</f>
        <v>286499</v>
      </c>
      <c r="J73" s="12" t="s">
        <v>12546</v>
      </c>
      <c r="K73" s="12" t="s">
        <v>12547</v>
      </c>
      <c r="L73" s="13" t="str">
        <f>HYPERLINK("http://asia.ensembl.org/Homo_sapiens/Gene/Summary?g=ENSG00000179083", "ENSG00000179083")</f>
        <v>ENSG00000179083</v>
      </c>
      <c r="M73" s="12" t="s">
        <v>12548</v>
      </c>
      <c r="N73" s="12" t="s">
        <v>12549</v>
      </c>
    </row>
    <row r="74" spans="1:14">
      <c r="A74" s="12" t="s">
        <v>2836</v>
      </c>
      <c r="B74" s="8">
        <v>351.15084560800301</v>
      </c>
      <c r="C74" s="12">
        <v>73.852017943319197</v>
      </c>
      <c r="D74" s="8">
        <v>2.2493816622848</v>
      </c>
      <c r="E74" s="12">
        <v>1.28631109820928E-3</v>
      </c>
      <c r="F74" s="8" t="s">
        <v>2837</v>
      </c>
      <c r="G74" s="12" t="s">
        <v>2838</v>
      </c>
      <c r="H74" s="12">
        <v>1</v>
      </c>
      <c r="I74" s="13" t="str">
        <f>HYPERLINK("http://www.ncbi.nlm.nih.gov/gene/92797", "92797")</f>
        <v>92797</v>
      </c>
      <c r="J74" s="13" t="str">
        <f>HYPERLINK("http://www.ncbi.nlm.nih.gov/nuccore/NM_033647", "NM_033647")</f>
        <v>NM_033647</v>
      </c>
      <c r="K74" s="12" t="s">
        <v>2839</v>
      </c>
      <c r="L74" s="13" t="str">
        <f>HYPERLINK("http://asia.ensembl.org/Homo_sapiens/Gene/Summary?g=ENSG00000127311", "ENSG00000127311")</f>
        <v>ENSG00000127311</v>
      </c>
      <c r="M74" s="12" t="s">
        <v>12793</v>
      </c>
      <c r="N74" s="12" t="s">
        <v>12794</v>
      </c>
    </row>
    <row r="75" spans="1:14">
      <c r="A75" s="12" t="s">
        <v>3966</v>
      </c>
      <c r="B75" s="8">
        <v>979.89876062701501</v>
      </c>
      <c r="C75" s="12">
        <v>206.699143120945</v>
      </c>
      <c r="D75" s="8">
        <v>2.2451002951922598</v>
      </c>
      <c r="E75" s="12">
        <v>3.2413604916792498E-4</v>
      </c>
      <c r="F75" s="8" t="s">
        <v>3967</v>
      </c>
      <c r="G75" s="12" t="s">
        <v>3968</v>
      </c>
      <c r="H75" s="12">
        <v>1</v>
      </c>
      <c r="I75" s="13" t="str">
        <f>HYPERLINK("http://www.ncbi.nlm.nih.gov/gene/87178", "87178")</f>
        <v>87178</v>
      </c>
      <c r="J75" s="13" t="str">
        <f>HYPERLINK("http://www.ncbi.nlm.nih.gov/nuccore/NM_033109", "NM_033109")</f>
        <v>NM_033109</v>
      </c>
      <c r="K75" s="12" t="s">
        <v>3969</v>
      </c>
      <c r="L75" s="13" t="str">
        <f>HYPERLINK("http://asia.ensembl.org/Homo_sapiens/Gene/Summary?g=ENSG00000138035", "ENSG00000138035")</f>
        <v>ENSG00000138035</v>
      </c>
      <c r="M75" s="12" t="s">
        <v>13140</v>
      </c>
      <c r="N75" s="12" t="s">
        <v>13141</v>
      </c>
    </row>
    <row r="76" spans="1:14">
      <c r="A76" s="12" t="s">
        <v>10437</v>
      </c>
      <c r="B76" s="8">
        <v>553.12048440227704</v>
      </c>
      <c r="C76" s="12">
        <v>118.30249007609601</v>
      </c>
      <c r="D76" s="8">
        <v>2.22511333177723</v>
      </c>
      <c r="E76" s="12">
        <v>5.8802208800496801E-4</v>
      </c>
      <c r="F76" s="8" t="s">
        <v>10438</v>
      </c>
      <c r="G76" s="12" t="s">
        <v>10439</v>
      </c>
      <c r="H76" s="12">
        <v>1</v>
      </c>
      <c r="I76" s="13" t="str">
        <f>HYPERLINK("http://www.ncbi.nlm.nih.gov/gene/100505929", "100505929")</f>
        <v>100505929</v>
      </c>
      <c r="J76" s="12" t="s">
        <v>15431</v>
      </c>
      <c r="K76" s="12" t="s">
        <v>13129</v>
      </c>
      <c r="L76" s="13" t="str">
        <f>HYPERLINK("http://asia.ensembl.org/Homo_sapiens/Gene/Summary?g=ENSG00000232560", "ENSG00000232560")</f>
        <v>ENSG00000232560</v>
      </c>
      <c r="M76" s="12" t="s">
        <v>15432</v>
      </c>
    </row>
    <row r="77" spans="1:14">
      <c r="A77" s="12" t="s">
        <v>11576</v>
      </c>
      <c r="B77" s="8">
        <v>233.156606007882</v>
      </c>
      <c r="C77" s="12">
        <v>49.999999999999901</v>
      </c>
      <c r="D77" s="8">
        <v>2.2212993060226398</v>
      </c>
      <c r="E77" s="12">
        <v>6.7394350358385096E-6</v>
      </c>
      <c r="F77" s="8" t="s">
        <v>11577</v>
      </c>
      <c r="G77" s="12" t="s">
        <v>11578</v>
      </c>
      <c r="H77" s="12">
        <v>1</v>
      </c>
      <c r="I77" s="13" t="str">
        <f>HYPERLINK("http://www.ncbi.nlm.nih.gov/gene/653602", "653602")</f>
        <v>653602</v>
      </c>
      <c r="J77" s="13" t="str">
        <f>HYPERLINK("http://www.ncbi.nlm.nih.gov/nuccore/NM_001291410", "NM_001291410")</f>
        <v>NM_001291410</v>
      </c>
      <c r="K77" s="12" t="s">
        <v>11579</v>
      </c>
      <c r="L77" s="12" t="s">
        <v>38</v>
      </c>
      <c r="M77" s="12" t="s">
        <v>38</v>
      </c>
      <c r="N77" s="12" t="s">
        <v>38</v>
      </c>
    </row>
    <row r="78" spans="1:14">
      <c r="A78" s="12" t="s">
        <v>9598</v>
      </c>
      <c r="B78" s="8">
        <v>5603.07863964226</v>
      </c>
      <c r="C78" s="12">
        <v>1201.73023117199</v>
      </c>
      <c r="D78" s="8">
        <v>2.2211066701481799</v>
      </c>
      <c r="E78" s="12">
        <v>8.8071140766128806E-5</v>
      </c>
      <c r="F78" s="8" t="s">
        <v>8628</v>
      </c>
      <c r="G78" s="12" t="s">
        <v>5001</v>
      </c>
      <c r="H78" s="12">
        <v>1</v>
      </c>
      <c r="I78" s="13" t="str">
        <f>HYPERLINK("http://www.ncbi.nlm.nih.gov/gene/9208", "9208")</f>
        <v>9208</v>
      </c>
      <c r="J78" s="12" t="s">
        <v>14793</v>
      </c>
      <c r="K78" s="12" t="s">
        <v>14794</v>
      </c>
      <c r="L78" s="13" t="str">
        <f>HYPERLINK("http://asia.ensembl.org/Homo_sapiens/Gene/Summary?g=ENSG00000124831", "ENSG00000124831")</f>
        <v>ENSG00000124831</v>
      </c>
      <c r="M78" s="12" t="s">
        <v>14795</v>
      </c>
      <c r="N78" s="12" t="s">
        <v>14796</v>
      </c>
    </row>
    <row r="79" spans="1:14">
      <c r="A79" s="12" t="s">
        <v>2530</v>
      </c>
      <c r="B79" s="8">
        <v>2392.45768584896</v>
      </c>
      <c r="C79" s="12">
        <v>514.04201058886395</v>
      </c>
      <c r="D79" s="8">
        <v>2.2185352337212501</v>
      </c>
      <c r="E79" s="12">
        <v>7.97748825292525E-4</v>
      </c>
      <c r="F79" s="8" t="s">
        <v>2531</v>
      </c>
      <c r="G79" s="12" t="s">
        <v>2532</v>
      </c>
      <c r="H79" s="12">
        <v>1</v>
      </c>
      <c r="I79" s="13" t="str">
        <f>HYPERLINK("http://www.ncbi.nlm.nih.gov/gene/23670", "23670")</f>
        <v>23670</v>
      </c>
      <c r="J79" s="12" t="s">
        <v>12681</v>
      </c>
      <c r="K79" s="12" t="s">
        <v>12682</v>
      </c>
      <c r="L79" s="13" t="str">
        <f>HYPERLINK("http://asia.ensembl.org/Homo_sapiens/Gene/Summary?g=ENSG00000135048", "ENSG00000135048")</f>
        <v>ENSG00000135048</v>
      </c>
      <c r="M79" s="12" t="s">
        <v>12683</v>
      </c>
      <c r="N79" s="12" t="s">
        <v>12684</v>
      </c>
    </row>
    <row r="80" spans="1:14">
      <c r="A80" s="12" t="s">
        <v>348</v>
      </c>
      <c r="B80" s="8">
        <v>567.89798450233604</v>
      </c>
      <c r="C80" s="12">
        <v>122.969720638547</v>
      </c>
      <c r="D80" s="8">
        <v>2.2073286732675501</v>
      </c>
      <c r="E80" s="12">
        <v>2.1340312326445701E-3</v>
      </c>
      <c r="F80" s="8" t="s">
        <v>349</v>
      </c>
      <c r="G80" s="12" t="s">
        <v>350</v>
      </c>
      <c r="H80" s="12">
        <v>1</v>
      </c>
      <c r="I80" s="13" t="str">
        <f>HYPERLINK("http://www.ncbi.nlm.nih.gov/gene/390", "390")</f>
        <v>390</v>
      </c>
      <c r="J80" s="12" t="s">
        <v>11955</v>
      </c>
      <c r="K80" s="12" t="s">
        <v>11956</v>
      </c>
      <c r="L80" s="13" t="str">
        <f>HYPERLINK("http://asia.ensembl.org/Homo_sapiens/Gene/Summary?g=ENSG00000115963", "ENSG00000115963")</f>
        <v>ENSG00000115963</v>
      </c>
      <c r="M80" s="12" t="s">
        <v>11957</v>
      </c>
      <c r="N80" s="12" t="s">
        <v>11958</v>
      </c>
    </row>
    <row r="81" spans="1:14">
      <c r="A81" s="12" t="s">
        <v>8818</v>
      </c>
      <c r="B81" s="8">
        <v>659.17569156166701</v>
      </c>
      <c r="C81" s="12">
        <v>142.96728653110699</v>
      </c>
      <c r="D81" s="8">
        <v>2.2049779708306301</v>
      </c>
      <c r="E81" s="12">
        <v>1.8307295067795199E-3</v>
      </c>
      <c r="F81" s="8" t="s">
        <v>8819</v>
      </c>
      <c r="G81" s="12" t="s">
        <v>8820</v>
      </c>
      <c r="H81" s="12">
        <v>1</v>
      </c>
      <c r="I81" s="13" t="str">
        <f>HYPERLINK("http://www.ncbi.nlm.nih.gov/gene/100190986", "100190986")</f>
        <v>100190986</v>
      </c>
      <c r="J81" s="13" t="str">
        <f>HYPERLINK("http://www.ncbi.nlm.nih.gov/nuccore/NR_024456", "NR_024456")</f>
        <v>NR_024456</v>
      </c>
      <c r="K81" s="12" t="s">
        <v>199</v>
      </c>
      <c r="L81" s="12" t="s">
        <v>38</v>
      </c>
      <c r="M81" s="12" t="s">
        <v>38</v>
      </c>
      <c r="N81" s="12" t="s">
        <v>38</v>
      </c>
    </row>
    <row r="82" spans="1:14">
      <c r="A82" s="12" t="s">
        <v>10782</v>
      </c>
      <c r="B82" s="8">
        <v>753.21152171864901</v>
      </c>
      <c r="C82" s="12">
        <v>164.22593861912699</v>
      </c>
      <c r="D82" s="8">
        <v>2.1973730575540502</v>
      </c>
      <c r="E82" s="12">
        <v>3.0990745234784501E-3</v>
      </c>
      <c r="F82" s="8" t="s">
        <v>2034</v>
      </c>
      <c r="G82" s="12" t="s">
        <v>2035</v>
      </c>
      <c r="H82" s="12">
        <v>1</v>
      </c>
      <c r="I82" s="13" t="str">
        <f>HYPERLINK("http://www.ncbi.nlm.nih.gov/gene/55286", "55286")</f>
        <v>55286</v>
      </c>
      <c r="J82" s="12" t="s">
        <v>12521</v>
      </c>
      <c r="K82" s="12" t="s">
        <v>12522</v>
      </c>
      <c r="L82" s="13" t="str">
        <f>HYPERLINK("http://asia.ensembl.org/Homo_sapiens/Gene/Summary?g=ENSG00000154274", "ENSG00000154274")</f>
        <v>ENSG00000154274</v>
      </c>
      <c r="M82" s="12" t="s">
        <v>12523</v>
      </c>
      <c r="N82" s="12" t="s">
        <v>12524</v>
      </c>
    </row>
    <row r="83" spans="1:14">
      <c r="A83" s="12" t="s">
        <v>2348</v>
      </c>
      <c r="B83" s="8">
        <v>695.41303241773801</v>
      </c>
      <c r="C83" s="12">
        <v>151.63970669097901</v>
      </c>
      <c r="D83" s="8">
        <v>2.1972225331153399</v>
      </c>
      <c r="E83" s="12">
        <v>3.5581298586399401E-3</v>
      </c>
      <c r="F83" s="8" t="s">
        <v>2349</v>
      </c>
      <c r="G83" s="12" t="s">
        <v>12605</v>
      </c>
      <c r="H83" s="12">
        <v>1</v>
      </c>
      <c r="I83" s="13" t="str">
        <f>HYPERLINK("http://www.ncbi.nlm.nih.gov/gene/10631", "10631")</f>
        <v>10631</v>
      </c>
      <c r="J83" s="12" t="s">
        <v>12606</v>
      </c>
      <c r="K83" s="12" t="s">
        <v>12607</v>
      </c>
      <c r="L83" s="13" t="str">
        <f>HYPERLINK("http://asia.ensembl.org/Homo_sapiens/Gene/Summary?g=ENSG00000133110", "ENSG00000133110")</f>
        <v>ENSG00000133110</v>
      </c>
      <c r="M83" s="12" t="s">
        <v>12608</v>
      </c>
      <c r="N83" s="12" t="s">
        <v>12609</v>
      </c>
    </row>
    <row r="84" spans="1:14">
      <c r="A84" s="12" t="s">
        <v>6096</v>
      </c>
      <c r="B84" s="8">
        <v>2634.94073410888</v>
      </c>
      <c r="C84" s="12">
        <v>579.25933419150999</v>
      </c>
      <c r="D84" s="8">
        <v>2.18548922069591</v>
      </c>
      <c r="E84" s="12">
        <v>7.3789879294377294E-5</v>
      </c>
      <c r="F84" s="8" t="s">
        <v>6097</v>
      </c>
      <c r="G84" s="12" t="s">
        <v>14043</v>
      </c>
      <c r="H84" s="12">
        <v>1</v>
      </c>
      <c r="I84" s="13" t="str">
        <f>HYPERLINK("http://www.ncbi.nlm.nih.gov/gene/3908", "3908")</f>
        <v>3908</v>
      </c>
      <c r="J84" s="12" t="s">
        <v>14044</v>
      </c>
      <c r="K84" s="12" t="s">
        <v>14045</v>
      </c>
      <c r="L84" s="13" t="str">
        <f>HYPERLINK("http://asia.ensembl.org/Homo_sapiens/Gene/Summary?g=ENSG00000196569", "ENSG00000196569")</f>
        <v>ENSG00000196569</v>
      </c>
      <c r="M84" s="12" t="s">
        <v>14046</v>
      </c>
      <c r="N84" s="12" t="s">
        <v>14047</v>
      </c>
    </row>
    <row r="85" spans="1:14">
      <c r="A85" s="12" t="s">
        <v>9106</v>
      </c>
      <c r="B85" s="8">
        <v>1357.0685394437401</v>
      </c>
      <c r="C85" s="12">
        <v>298.87927155935603</v>
      </c>
      <c r="D85" s="8">
        <v>2.1828588375685798</v>
      </c>
      <c r="E85" s="12">
        <v>7.4612862729987403E-4</v>
      </c>
      <c r="F85" s="8" t="s">
        <v>8380</v>
      </c>
      <c r="G85" s="12" t="s">
        <v>8381</v>
      </c>
      <c r="H85" s="12">
        <v>1</v>
      </c>
      <c r="I85" s="13" t="str">
        <f>HYPERLINK("http://www.ncbi.nlm.nih.gov/gene/80311", "80311")</f>
        <v>80311</v>
      </c>
      <c r="J85" s="13" t="str">
        <f>HYPERLINK("http://www.ncbi.nlm.nih.gov/nuccore/NM_030624", "NM_030624")</f>
        <v>NM_030624</v>
      </c>
      <c r="K85" s="12" t="s">
        <v>8382</v>
      </c>
      <c r="L85" s="13" t="str">
        <f>HYPERLINK("http://asia.ensembl.org/Homo_sapiens/Gene/Summary?g=ENSG00000174010", "ENSG00000174010")</f>
        <v>ENSG00000174010</v>
      </c>
      <c r="M85" s="12" t="s">
        <v>8383</v>
      </c>
      <c r="N85" s="12" t="s">
        <v>8384</v>
      </c>
    </row>
    <row r="86" spans="1:14">
      <c r="A86" s="12" t="s">
        <v>9867</v>
      </c>
      <c r="B86" s="8">
        <v>670.78878659341399</v>
      </c>
      <c r="C86" s="12">
        <v>147.876112877574</v>
      </c>
      <c r="D86" s="8">
        <v>2.1814695459779601</v>
      </c>
      <c r="E86" s="12">
        <v>4.4972633584329496E-3</v>
      </c>
      <c r="F86" s="8" t="s">
        <v>9868</v>
      </c>
      <c r="G86" s="12" t="s">
        <v>9869</v>
      </c>
      <c r="H86" s="12">
        <v>4</v>
      </c>
      <c r="I86" s="12" t="s">
        <v>9870</v>
      </c>
      <c r="J86" s="12" t="s">
        <v>15220</v>
      </c>
      <c r="K86" s="12" t="s">
        <v>15221</v>
      </c>
      <c r="L86" s="12" t="s">
        <v>9871</v>
      </c>
      <c r="M86" s="12" t="s">
        <v>15222</v>
      </c>
      <c r="N86" s="12" t="s">
        <v>15223</v>
      </c>
    </row>
    <row r="87" spans="1:14">
      <c r="A87" s="12" t="s">
        <v>10691</v>
      </c>
      <c r="B87" s="8">
        <v>232.79086993016199</v>
      </c>
      <c r="C87" s="12">
        <v>51.3877788957831</v>
      </c>
      <c r="D87" s="8">
        <v>2.1795372749516302</v>
      </c>
      <c r="E87" s="12">
        <v>5.2501242455510297E-5</v>
      </c>
      <c r="F87" s="8" t="s">
        <v>8900</v>
      </c>
      <c r="G87" s="12" t="s">
        <v>8901</v>
      </c>
      <c r="H87" s="12">
        <v>1</v>
      </c>
      <c r="I87" s="13" t="str">
        <f>HYPERLINK("http://www.ncbi.nlm.nih.gov/gene/219623", "219623")</f>
        <v>219623</v>
      </c>
      <c r="J87" s="13" t="str">
        <f>HYPERLINK("http://www.ncbi.nlm.nih.gov/nuccore/NM_178505", "NM_178505")</f>
        <v>NM_178505</v>
      </c>
      <c r="K87" s="12" t="s">
        <v>8902</v>
      </c>
      <c r="L87" s="13" t="str">
        <f>HYPERLINK("http://asia.ensembl.org/Homo_sapiens/Gene/Summary?g=ENSG00000196932", "ENSG00000196932")</f>
        <v>ENSG00000196932</v>
      </c>
      <c r="M87" s="12" t="s">
        <v>15721</v>
      </c>
      <c r="N87" s="12" t="s">
        <v>15722</v>
      </c>
    </row>
    <row r="88" spans="1:14">
      <c r="A88" s="12" t="s">
        <v>10796</v>
      </c>
      <c r="B88" s="8">
        <v>844.62700629668996</v>
      </c>
      <c r="C88" s="12">
        <v>186.520720362384</v>
      </c>
      <c r="D88" s="8">
        <v>2.1789784702980302</v>
      </c>
      <c r="E88" s="12">
        <v>2.5624909243231798E-3</v>
      </c>
      <c r="F88" s="8" t="s">
        <v>966</v>
      </c>
      <c r="G88" s="12" t="s">
        <v>12174</v>
      </c>
      <c r="H88" s="12">
        <v>1</v>
      </c>
      <c r="I88" s="13" t="str">
        <f>HYPERLINK("http://www.ncbi.nlm.nih.gov/gene/9037", "9037")</f>
        <v>9037</v>
      </c>
      <c r="J88" s="13" t="str">
        <f>HYPERLINK("http://www.ncbi.nlm.nih.gov/nuccore/NM_003966", "NM_003966")</f>
        <v>NM_003966</v>
      </c>
      <c r="K88" s="12" t="s">
        <v>967</v>
      </c>
      <c r="L88" s="13" t="str">
        <f>HYPERLINK("http://asia.ensembl.org/Homo_sapiens/Gene/Summary?g=ENSG00000112902", "ENSG00000112902")</f>
        <v>ENSG00000112902</v>
      </c>
      <c r="M88" s="12" t="s">
        <v>12175</v>
      </c>
      <c r="N88" s="12" t="s">
        <v>12176</v>
      </c>
    </row>
    <row r="89" spans="1:14">
      <c r="A89" s="12" t="s">
        <v>11153</v>
      </c>
      <c r="B89" s="8">
        <v>1047.5642973686699</v>
      </c>
      <c r="C89" s="12">
        <v>231.56452929386001</v>
      </c>
      <c r="D89" s="8">
        <v>2.1775526108252201</v>
      </c>
      <c r="E89" s="12">
        <v>2.1799635792499501E-3</v>
      </c>
      <c r="F89" s="8" t="s">
        <v>229</v>
      </c>
      <c r="G89" s="12" t="s">
        <v>230</v>
      </c>
      <c r="H89" s="12">
        <v>1</v>
      </c>
      <c r="I89" s="13" t="str">
        <f>HYPERLINK("http://www.ncbi.nlm.nih.gov/gene/8543", "8543")</f>
        <v>8543</v>
      </c>
      <c r="J89" s="13" t="str">
        <f>HYPERLINK("http://www.ncbi.nlm.nih.gov/nuccore/NM_006769", "NM_006769")</f>
        <v>NM_006769</v>
      </c>
      <c r="K89" s="12" t="s">
        <v>231</v>
      </c>
      <c r="L89" s="13" t="str">
        <f>HYPERLINK("http://asia.ensembl.org/Homo_sapiens/Gene/Summary?g=ENSG00000143013", "ENSG00000143013")</f>
        <v>ENSG00000143013</v>
      </c>
      <c r="M89" s="12" t="s">
        <v>11904</v>
      </c>
      <c r="N89" s="12" t="s">
        <v>11905</v>
      </c>
    </row>
    <row r="90" spans="1:14">
      <c r="A90" s="12" t="s">
        <v>1156</v>
      </c>
      <c r="B90" s="8">
        <v>229.10139916663701</v>
      </c>
      <c r="C90" s="12">
        <v>50.706181286122302</v>
      </c>
      <c r="D90" s="8">
        <v>2.1757527361353399</v>
      </c>
      <c r="E90" s="12">
        <v>1.8086241362960999E-5</v>
      </c>
      <c r="F90" s="8" t="s">
        <v>1157</v>
      </c>
      <c r="G90" s="12" t="s">
        <v>1158</v>
      </c>
      <c r="H90" s="12">
        <v>1</v>
      </c>
      <c r="I90" s="13" t="str">
        <f>HYPERLINK("http://www.ncbi.nlm.nih.gov/gene/2151", "2151")</f>
        <v>2151</v>
      </c>
      <c r="J90" s="12" t="s">
        <v>12246</v>
      </c>
      <c r="K90" s="12" t="s">
        <v>12247</v>
      </c>
      <c r="L90" s="13" t="str">
        <f>HYPERLINK("http://asia.ensembl.org/Homo_sapiens/Gene/Summary?g=ENSG00000164220", "ENSG00000164220")</f>
        <v>ENSG00000164220</v>
      </c>
      <c r="M90" s="12" t="s">
        <v>12248</v>
      </c>
      <c r="N90" s="12" t="s">
        <v>12249</v>
      </c>
    </row>
    <row r="91" spans="1:14">
      <c r="A91" s="12" t="s">
        <v>3244</v>
      </c>
      <c r="B91" s="8">
        <v>295.47227963781501</v>
      </c>
      <c r="C91" s="12">
        <v>65.4182747835642</v>
      </c>
      <c r="D91" s="8">
        <v>2.1752571690829599</v>
      </c>
      <c r="E91" s="12">
        <v>9.1581555469936801E-5</v>
      </c>
      <c r="F91" s="8" t="s">
        <v>3245</v>
      </c>
      <c r="G91" s="12" t="s">
        <v>12929</v>
      </c>
      <c r="H91" s="12">
        <v>1</v>
      </c>
      <c r="I91" s="13" t="str">
        <f>HYPERLINK("http://www.ncbi.nlm.nih.gov/gene/55814", "55814")</f>
        <v>55814</v>
      </c>
      <c r="J91" s="13" t="str">
        <f>HYPERLINK("http://www.ncbi.nlm.nih.gov/nuccore/NM_018429", "NM_018429")</f>
        <v>NM_018429</v>
      </c>
      <c r="K91" s="12" t="s">
        <v>3246</v>
      </c>
      <c r="L91" s="13" t="str">
        <f>HYPERLINK("http://asia.ensembl.org/Homo_sapiens/Gene/Summary?g=ENSG00000274803", "ENSG00000274803")</f>
        <v>ENSG00000274803</v>
      </c>
      <c r="M91" s="12" t="s">
        <v>12930</v>
      </c>
      <c r="N91" s="12" t="s">
        <v>12931</v>
      </c>
    </row>
    <row r="92" spans="1:14">
      <c r="A92" s="12" t="s">
        <v>3563</v>
      </c>
      <c r="B92" s="8">
        <v>1582.2195968818201</v>
      </c>
      <c r="C92" s="12">
        <v>350.56150055465503</v>
      </c>
      <c r="D92" s="8">
        <v>2.1742103759962101</v>
      </c>
      <c r="E92" s="12">
        <v>5.3309880766753699E-4</v>
      </c>
      <c r="F92" s="8" t="s">
        <v>3564</v>
      </c>
      <c r="G92" s="12" t="s">
        <v>3565</v>
      </c>
      <c r="H92" s="12">
        <v>1</v>
      </c>
      <c r="I92" s="13" t="str">
        <f>HYPERLINK("http://www.ncbi.nlm.nih.gov/gene/124751", "124751")</f>
        <v>124751</v>
      </c>
      <c r="J92" s="13" t="str">
        <f>HYPERLINK("http://www.ncbi.nlm.nih.gov/nuccore/NM_213597", "NM_213597")</f>
        <v>NM_213597</v>
      </c>
      <c r="K92" s="12" t="s">
        <v>3566</v>
      </c>
      <c r="L92" s="13" t="str">
        <f>HYPERLINK("http://asia.ensembl.org/Homo_sapiens/Gene/Summary?g=ENSG00000184619", "ENSG00000184619")</f>
        <v>ENSG00000184619</v>
      </c>
      <c r="M92" s="12" t="s">
        <v>13043</v>
      </c>
      <c r="N92" s="12" t="s">
        <v>13044</v>
      </c>
    </row>
    <row r="93" spans="1:14">
      <c r="A93" s="12" t="s">
        <v>4957</v>
      </c>
      <c r="B93" s="8">
        <v>460.851212187643</v>
      </c>
      <c r="C93" s="12">
        <v>102.117599260178</v>
      </c>
      <c r="D93" s="8">
        <v>2.1740695193469799</v>
      </c>
      <c r="E93" s="12">
        <v>4.85785198488313E-4</v>
      </c>
      <c r="F93" s="8" t="s">
        <v>4958</v>
      </c>
      <c r="G93" s="12" t="s">
        <v>4959</v>
      </c>
      <c r="H93" s="12">
        <v>1</v>
      </c>
      <c r="I93" s="13" t="str">
        <f>HYPERLINK("http://www.ncbi.nlm.nih.gov/gene/9053", "9053")</f>
        <v>9053</v>
      </c>
      <c r="J93" s="12" t="s">
        <v>13506</v>
      </c>
      <c r="K93" s="12" t="s">
        <v>13507</v>
      </c>
      <c r="L93" s="13" t="str">
        <f>HYPERLINK("http://asia.ensembl.org/Homo_sapiens/Gene/Summary?g=ENSG00000135525", "ENSG00000135525")</f>
        <v>ENSG00000135525</v>
      </c>
      <c r="M93" s="12" t="s">
        <v>13508</v>
      </c>
      <c r="N93" s="12" t="s">
        <v>13509</v>
      </c>
    </row>
    <row r="94" spans="1:14">
      <c r="A94" s="12" t="s">
        <v>10546</v>
      </c>
      <c r="B94" s="8">
        <v>430.48809251978901</v>
      </c>
      <c r="C94" s="12">
        <v>95.485111247067806</v>
      </c>
      <c r="D94" s="8">
        <v>2.1726256326343001</v>
      </c>
      <c r="E94" s="12">
        <v>8.3484498593106797E-4</v>
      </c>
      <c r="F94" s="8" t="s">
        <v>906</v>
      </c>
      <c r="G94" s="12" t="s">
        <v>15550</v>
      </c>
      <c r="H94" s="12">
        <v>1</v>
      </c>
      <c r="I94" s="13" t="str">
        <f>HYPERLINK("http://www.ncbi.nlm.nih.gov/gene/11098", "11098")</f>
        <v>11098</v>
      </c>
      <c r="J94" s="13" t="str">
        <f>HYPERLINK("http://www.ncbi.nlm.nih.gov/nuccore/NM_007173", "NM_007173")</f>
        <v>NM_007173</v>
      </c>
      <c r="K94" s="12" t="s">
        <v>907</v>
      </c>
      <c r="L94" s="13" t="str">
        <f>HYPERLINK("http://asia.ensembl.org/Homo_sapiens/Gene/Summary?g=ENSG00000150687", "ENSG00000150687")</f>
        <v>ENSG00000150687</v>
      </c>
      <c r="M94" s="12" t="s">
        <v>15551</v>
      </c>
      <c r="N94" s="12" t="s">
        <v>15552</v>
      </c>
    </row>
    <row r="95" spans="1:14">
      <c r="A95" s="12" t="s">
        <v>6386</v>
      </c>
      <c r="B95" s="8">
        <v>5575.9299258106603</v>
      </c>
      <c r="C95" s="12">
        <v>1245.4741360603</v>
      </c>
      <c r="D95" s="8">
        <v>2.16251736819558</v>
      </c>
      <c r="E95" s="12">
        <v>2.4907330516419899E-3</v>
      </c>
      <c r="F95" s="8" t="s">
        <v>6387</v>
      </c>
      <c r="G95" s="12" t="s">
        <v>6388</v>
      </c>
      <c r="H95" s="12">
        <v>1</v>
      </c>
      <c r="I95" s="13" t="str">
        <f>HYPERLINK("http://www.ncbi.nlm.nih.gov/gene/23179", "23179")</f>
        <v>23179</v>
      </c>
      <c r="J95" s="13" t="str">
        <f>HYPERLINK("http://www.ncbi.nlm.nih.gov/nuccore/NM_015149", "NM_015149")</f>
        <v>NM_015149</v>
      </c>
      <c r="K95" s="12" t="s">
        <v>6389</v>
      </c>
      <c r="L95" s="13" t="str">
        <f>HYPERLINK("http://asia.ensembl.org/Homo_sapiens/Gene/Summary?g=ENSG00000143344", "ENSG00000143344")</f>
        <v>ENSG00000143344</v>
      </c>
      <c r="M95" s="12" t="s">
        <v>14159</v>
      </c>
      <c r="N95" s="12" t="s">
        <v>14160</v>
      </c>
    </row>
    <row r="96" spans="1:14">
      <c r="A96" s="12" t="s">
        <v>3366</v>
      </c>
      <c r="B96" s="8">
        <v>336.11653717980897</v>
      </c>
      <c r="C96" s="12">
        <v>75.146025019106403</v>
      </c>
      <c r="D96" s="8">
        <v>2.1611928286587201</v>
      </c>
      <c r="E96" s="12">
        <v>6.4282480251947E-4</v>
      </c>
      <c r="F96" s="8" t="s">
        <v>3367</v>
      </c>
      <c r="G96" s="12" t="s">
        <v>2094</v>
      </c>
      <c r="H96" s="12">
        <v>1</v>
      </c>
      <c r="I96" s="13" t="str">
        <f>HYPERLINK("http://www.ncbi.nlm.nih.gov/gene/113278", "113278")</f>
        <v>113278</v>
      </c>
      <c r="J96" s="13" t="str">
        <f>HYPERLINK("http://www.ncbi.nlm.nih.gov/nuccore/NM_033409", "NM_033409")</f>
        <v>NM_033409</v>
      </c>
      <c r="K96" s="12" t="s">
        <v>3368</v>
      </c>
      <c r="L96" s="13" t="str">
        <f>HYPERLINK("http://asia.ensembl.org/Homo_sapiens/Gene/Summary?g=ENSG00000101276", "ENSG00000101276")</f>
        <v>ENSG00000101276</v>
      </c>
      <c r="M96" s="12" t="s">
        <v>12956</v>
      </c>
      <c r="N96" s="12" t="s">
        <v>12957</v>
      </c>
    </row>
    <row r="97" spans="1:14">
      <c r="A97" s="12" t="s">
        <v>7445</v>
      </c>
      <c r="B97" s="8">
        <v>223.60715867905901</v>
      </c>
      <c r="C97" s="12">
        <v>50</v>
      </c>
      <c r="D97" s="8">
        <v>2.1609663761303701</v>
      </c>
      <c r="E97" s="12">
        <v>4.5577473074952598E-4</v>
      </c>
      <c r="F97" s="8" t="s">
        <v>38</v>
      </c>
      <c r="G97" s="12" t="s">
        <v>38</v>
      </c>
      <c r="H97" s="12">
        <v>1</v>
      </c>
      <c r="I97" s="12" t="s">
        <v>38</v>
      </c>
      <c r="J97" s="12" t="s">
        <v>38</v>
      </c>
      <c r="K97" s="12" t="s">
        <v>38</v>
      </c>
      <c r="L97" s="13" t="str">
        <f>HYPERLINK("http://asia.ensembl.org/Homo_sapiens/Gene/Summary?g=ENSG00000108469", "ENSG00000108469")</f>
        <v>ENSG00000108469</v>
      </c>
      <c r="M97" s="12" t="s">
        <v>7446</v>
      </c>
      <c r="N97" s="12" t="s">
        <v>14428</v>
      </c>
    </row>
    <row r="98" spans="1:14">
      <c r="A98" s="12" t="s">
        <v>702</v>
      </c>
      <c r="B98" s="8">
        <v>605.28371294943304</v>
      </c>
      <c r="C98" s="12">
        <v>135.403738224742</v>
      </c>
      <c r="D98" s="8">
        <v>2.1603439619803901</v>
      </c>
      <c r="E98" s="12">
        <v>5.8343929769069799E-4</v>
      </c>
      <c r="F98" s="8" t="s">
        <v>703</v>
      </c>
      <c r="G98" s="12" t="s">
        <v>12078</v>
      </c>
      <c r="H98" s="12">
        <v>1</v>
      </c>
      <c r="I98" s="13" t="str">
        <f>HYPERLINK("http://www.ncbi.nlm.nih.gov/gene/55773", "55773")</f>
        <v>55773</v>
      </c>
      <c r="J98" s="12" t="s">
        <v>12079</v>
      </c>
      <c r="K98" s="12" t="s">
        <v>12080</v>
      </c>
      <c r="L98" s="13" t="str">
        <f>HYPERLINK("http://asia.ensembl.org/Homo_sapiens/Gene/Summary?g=ENSG00000036054", "ENSG00000036054")</f>
        <v>ENSG00000036054</v>
      </c>
      <c r="M98" s="12" t="s">
        <v>12081</v>
      </c>
      <c r="N98" s="12" t="s">
        <v>12082</v>
      </c>
    </row>
    <row r="99" spans="1:14">
      <c r="A99" s="12" t="s">
        <v>6857</v>
      </c>
      <c r="B99" s="8">
        <v>545.29535493460799</v>
      </c>
      <c r="C99" s="12">
        <v>122.342885842847</v>
      </c>
      <c r="D99" s="8">
        <v>2.1561076538967301</v>
      </c>
      <c r="E99" s="12">
        <v>2.90417840308129E-3</v>
      </c>
      <c r="F99" s="8" t="s">
        <v>6858</v>
      </c>
      <c r="G99" s="12" t="s">
        <v>14276</v>
      </c>
      <c r="H99" s="12">
        <v>1</v>
      </c>
      <c r="I99" s="13" t="str">
        <f>HYPERLINK("http://www.ncbi.nlm.nih.gov/gene/63929", "63929")</f>
        <v>63929</v>
      </c>
      <c r="J99" s="13" t="str">
        <f>HYPERLINK("http://www.ncbi.nlm.nih.gov/nuccore/NM_022098", "NM_022098")</f>
        <v>NM_022098</v>
      </c>
      <c r="K99" s="12" t="s">
        <v>6859</v>
      </c>
      <c r="L99" s="13" t="str">
        <f>HYPERLINK("http://asia.ensembl.org/Homo_sapiens/Gene/Summary?g=ENSG00000196236", "ENSG00000196236")</f>
        <v>ENSG00000196236</v>
      </c>
      <c r="M99" s="12" t="s">
        <v>14277</v>
      </c>
      <c r="N99" s="12" t="s">
        <v>14278</v>
      </c>
    </row>
    <row r="100" spans="1:14">
      <c r="A100" s="12" t="s">
        <v>10523</v>
      </c>
      <c r="B100" s="8">
        <v>1138.1420440121999</v>
      </c>
      <c r="C100" s="12">
        <v>256.33898184560098</v>
      </c>
      <c r="D100" s="8">
        <v>2.1505558289667901</v>
      </c>
      <c r="E100" s="12">
        <v>7.4835730338579701E-4</v>
      </c>
      <c r="F100" s="8" t="s">
        <v>8367</v>
      </c>
      <c r="G100" s="12" t="s">
        <v>456</v>
      </c>
      <c r="H100" s="12">
        <v>1</v>
      </c>
      <c r="I100" s="13" t="str">
        <f>HYPERLINK("http://www.ncbi.nlm.nih.gov/gene/91351", "91351")</f>
        <v>91351</v>
      </c>
      <c r="J100" s="13" t="str">
        <f>HYPERLINK("http://www.ncbi.nlm.nih.gov/nuccore/NM_001012967", "NM_001012967")</f>
        <v>NM_001012967</v>
      </c>
      <c r="K100" s="12" t="s">
        <v>8368</v>
      </c>
      <c r="L100" s="13" t="str">
        <f>HYPERLINK("http://asia.ensembl.org/Homo_sapiens/Gene/Summary?g=ENSG00000181381", "ENSG00000181381")</f>
        <v>ENSG00000181381</v>
      </c>
      <c r="M100" s="12" t="s">
        <v>15524</v>
      </c>
      <c r="N100" s="12" t="s">
        <v>15525</v>
      </c>
    </row>
    <row r="101" spans="1:14">
      <c r="A101" s="12" t="s">
        <v>5778</v>
      </c>
      <c r="B101" s="8">
        <v>1653.0874427230599</v>
      </c>
      <c r="C101" s="12">
        <v>373.101681571462</v>
      </c>
      <c r="D101" s="8">
        <v>2.14752227280976</v>
      </c>
      <c r="E101" s="12">
        <v>1.0725164641611201E-3</v>
      </c>
      <c r="F101" s="8" t="s">
        <v>5779</v>
      </c>
      <c r="G101" s="12" t="s">
        <v>5780</v>
      </c>
      <c r="H101" s="12">
        <v>1</v>
      </c>
      <c r="I101" s="13" t="str">
        <f>HYPERLINK("http://www.ncbi.nlm.nih.gov/gene/9422", "9422")</f>
        <v>9422</v>
      </c>
      <c r="J101" s="13" t="str">
        <f>HYPERLINK("http://www.ncbi.nlm.nih.gov/nuccore/NM_003417", "NM_003417")</f>
        <v>NM_003417</v>
      </c>
      <c r="K101" s="12" t="s">
        <v>5781</v>
      </c>
      <c r="L101" s="13" t="str">
        <f>HYPERLINK("http://asia.ensembl.org/Homo_sapiens/Gene/Summary?g=ENSG00000083844", "ENSG00000083844")</f>
        <v>ENSG00000083844</v>
      </c>
      <c r="M101" s="12" t="s">
        <v>13901</v>
      </c>
      <c r="N101" s="12" t="s">
        <v>13902</v>
      </c>
    </row>
    <row r="102" spans="1:14">
      <c r="A102" s="12" t="s">
        <v>5396</v>
      </c>
      <c r="B102" s="8">
        <v>419.64731502689102</v>
      </c>
      <c r="C102" s="12">
        <v>94.763895497613007</v>
      </c>
      <c r="D102" s="8">
        <v>2.1467679398813901</v>
      </c>
      <c r="E102" s="12">
        <v>2.43571812519323E-4</v>
      </c>
      <c r="F102" s="8" t="s">
        <v>5397</v>
      </c>
      <c r="G102" s="12" t="s">
        <v>13723</v>
      </c>
      <c r="H102" s="12">
        <v>1</v>
      </c>
      <c r="I102" s="13" t="str">
        <f>HYPERLINK("http://www.ncbi.nlm.nih.gov/gene/5337", "5337")</f>
        <v>5337</v>
      </c>
      <c r="J102" s="12" t="s">
        <v>13724</v>
      </c>
      <c r="K102" s="12" t="s">
        <v>13725</v>
      </c>
      <c r="L102" s="13" t="str">
        <f>HYPERLINK("http://asia.ensembl.org/Homo_sapiens/Gene/Summary?g=ENSG00000075651", "ENSG00000075651")</f>
        <v>ENSG00000075651</v>
      </c>
      <c r="M102" s="12" t="s">
        <v>13726</v>
      </c>
      <c r="N102" s="12" t="s">
        <v>13727</v>
      </c>
    </row>
    <row r="103" spans="1:14">
      <c r="A103" s="12" t="s">
        <v>9682</v>
      </c>
      <c r="B103" s="8">
        <v>307.52278361380701</v>
      </c>
      <c r="C103" s="12">
        <v>69.571700380699795</v>
      </c>
      <c r="D103" s="8">
        <v>2.1441208134543301</v>
      </c>
      <c r="E103" s="12">
        <v>1.7774655521880999E-3</v>
      </c>
      <c r="F103" s="8" t="s">
        <v>9683</v>
      </c>
      <c r="G103" s="12" t="s">
        <v>9684</v>
      </c>
      <c r="H103" s="12">
        <v>1</v>
      </c>
      <c r="I103" s="13" t="str">
        <f>HYPERLINK("http://www.ncbi.nlm.nih.gov/gene/7170", "7170")</f>
        <v>7170</v>
      </c>
      <c r="J103" s="13" t="str">
        <f>HYPERLINK("http://www.ncbi.nlm.nih.gov/nuccore/NM_152263", "NM_152263")</f>
        <v>NM_152263</v>
      </c>
      <c r="K103" s="12" t="s">
        <v>9685</v>
      </c>
      <c r="L103" s="13" t="str">
        <f>HYPERLINK("http://asia.ensembl.org/Homo_sapiens/Gene/Summary?g=ENSG00000143549", "ENSG00000143549")</f>
        <v>ENSG00000143549</v>
      </c>
      <c r="M103" s="12" t="s">
        <v>15162</v>
      </c>
      <c r="N103" s="12" t="s">
        <v>15163</v>
      </c>
    </row>
    <row r="104" spans="1:14">
      <c r="A104" s="12" t="s">
        <v>326</v>
      </c>
      <c r="B104" s="8">
        <v>6690.8718417847203</v>
      </c>
      <c r="C104" s="12">
        <v>1520.50309681152</v>
      </c>
      <c r="D104" s="8">
        <v>2.13764545613558</v>
      </c>
      <c r="E104" s="12">
        <v>1.8933867000617E-3</v>
      </c>
      <c r="F104" s="8" t="s">
        <v>327</v>
      </c>
      <c r="G104" s="12" t="s">
        <v>328</v>
      </c>
      <c r="H104" s="12">
        <v>1</v>
      </c>
      <c r="I104" s="13" t="str">
        <f>HYPERLINK("http://www.ncbi.nlm.nih.gov/gene/51696", "51696")</f>
        <v>51696</v>
      </c>
      <c r="J104" s="13" t="str">
        <f>HYPERLINK("http://www.ncbi.nlm.nih.gov/nuccore/NM_016217", "NM_016217")</f>
        <v>NM_016217</v>
      </c>
      <c r="K104" s="12" t="s">
        <v>329</v>
      </c>
      <c r="L104" s="13" t="str">
        <f>HYPERLINK("http://asia.ensembl.org/Homo_sapiens/Gene/Summary?g=ENSG00000112406", "ENSG00000112406")</f>
        <v>ENSG00000112406</v>
      </c>
      <c r="M104" s="12" t="s">
        <v>330</v>
      </c>
      <c r="N104" s="12" t="s">
        <v>331</v>
      </c>
    </row>
    <row r="105" spans="1:14">
      <c r="A105" s="12" t="s">
        <v>2872</v>
      </c>
      <c r="B105" s="8">
        <v>227.65152767400201</v>
      </c>
      <c r="C105" s="12">
        <v>51.928192278706597</v>
      </c>
      <c r="D105" s="8">
        <v>2.1322372323171201</v>
      </c>
      <c r="E105" s="12">
        <v>1.4155144012138401E-4</v>
      </c>
      <c r="F105" s="8" t="s">
        <v>2873</v>
      </c>
      <c r="G105" s="12" t="s">
        <v>2874</v>
      </c>
      <c r="H105" s="12">
        <v>1</v>
      </c>
      <c r="I105" s="13" t="str">
        <f>HYPERLINK("http://www.ncbi.nlm.nih.gov/gene/163589", "163589")</f>
        <v>163589</v>
      </c>
      <c r="J105" s="12" t="s">
        <v>12820</v>
      </c>
      <c r="K105" s="12" t="s">
        <v>12821</v>
      </c>
      <c r="L105" s="13" t="str">
        <f>HYPERLINK("http://asia.ensembl.org/Homo_sapiens/Gene/Summary?g=ENSG00000162782", "ENSG00000162782")</f>
        <v>ENSG00000162782</v>
      </c>
      <c r="M105" s="12" t="s">
        <v>12822</v>
      </c>
      <c r="N105" s="12" t="s">
        <v>12823</v>
      </c>
    </row>
    <row r="106" spans="1:14">
      <c r="A106" s="12" t="s">
        <v>6838</v>
      </c>
      <c r="B106" s="8">
        <v>420.17176666881699</v>
      </c>
      <c r="C106" s="12">
        <v>95.991667116029006</v>
      </c>
      <c r="D106" s="8">
        <v>2.12999814543481</v>
      </c>
      <c r="E106" s="12">
        <v>5.1035017467298703E-4</v>
      </c>
      <c r="F106" s="8" t="s">
        <v>6839</v>
      </c>
      <c r="G106" s="12" t="s">
        <v>6840</v>
      </c>
      <c r="H106" s="12">
        <v>1</v>
      </c>
      <c r="I106" s="13" t="str">
        <f>HYPERLINK("http://www.ncbi.nlm.nih.gov/gene/10650", "10650")</f>
        <v>10650</v>
      </c>
      <c r="J106" s="12" t="s">
        <v>14270</v>
      </c>
      <c r="K106" s="12" t="s">
        <v>14271</v>
      </c>
      <c r="L106" s="13" t="str">
        <f>HYPERLINK("http://asia.ensembl.org/Homo_sapiens/Gene/Summary?g=ENSG00000141391", "ENSG00000141391")</f>
        <v>ENSG00000141391</v>
      </c>
      <c r="M106" s="12" t="s">
        <v>14272</v>
      </c>
      <c r="N106" s="12" t="s">
        <v>14273</v>
      </c>
    </row>
    <row r="107" spans="1:14">
      <c r="A107" s="12" t="s">
        <v>51</v>
      </c>
      <c r="B107" s="8">
        <v>1611.19767038079</v>
      </c>
      <c r="C107" s="12">
        <v>368.95885690677102</v>
      </c>
      <c r="D107" s="8">
        <v>2.1266016489532298</v>
      </c>
      <c r="E107" s="12">
        <v>1.0510591490637299E-3</v>
      </c>
      <c r="F107" s="8" t="s">
        <v>52</v>
      </c>
      <c r="G107" s="12" t="s">
        <v>53</v>
      </c>
      <c r="H107" s="12">
        <v>1</v>
      </c>
      <c r="I107" s="13" t="str">
        <f>HYPERLINK("http://www.ncbi.nlm.nih.gov/gene/4072", "4072")</f>
        <v>4072</v>
      </c>
      <c r="J107" s="13" t="str">
        <f>HYPERLINK("http://www.ncbi.nlm.nih.gov/nuccore/NM_002354", "NM_002354")</f>
        <v>NM_002354</v>
      </c>
      <c r="K107" s="12" t="s">
        <v>54</v>
      </c>
      <c r="L107" s="13" t="str">
        <f>HYPERLINK("http://asia.ensembl.org/Homo_sapiens/Gene/Summary?g=ENSG00000119888", "ENSG00000119888")</f>
        <v>ENSG00000119888</v>
      </c>
      <c r="M107" s="12" t="s">
        <v>11843</v>
      </c>
      <c r="N107" s="12" t="s">
        <v>11844</v>
      </c>
    </row>
    <row r="108" spans="1:14">
      <c r="A108" s="12" t="s">
        <v>10597</v>
      </c>
      <c r="B108" s="8">
        <v>8565.9498527150208</v>
      </c>
      <c r="C108" s="12">
        <v>1962.7869026349899</v>
      </c>
      <c r="D108" s="8">
        <v>2.1257096816677201</v>
      </c>
      <c r="E108" s="12">
        <v>7.8982175320818702E-4</v>
      </c>
      <c r="F108" s="8" t="s">
        <v>4322</v>
      </c>
      <c r="G108" s="12" t="s">
        <v>4323</v>
      </c>
      <c r="H108" s="12">
        <v>1</v>
      </c>
      <c r="I108" s="13" t="str">
        <f>HYPERLINK("http://www.ncbi.nlm.nih.gov/gene/5396", "5396")</f>
        <v>5396</v>
      </c>
      <c r="J108" s="12" t="s">
        <v>13195</v>
      </c>
      <c r="K108" s="12" t="s">
        <v>13196</v>
      </c>
      <c r="L108" s="13" t="str">
        <f>HYPERLINK("http://asia.ensembl.org/Homo_sapiens/Gene/Summary?g=ENSG00000116132", "ENSG00000116132")</f>
        <v>ENSG00000116132</v>
      </c>
      <c r="M108" s="12" t="s">
        <v>13197</v>
      </c>
      <c r="N108" s="12" t="s">
        <v>13198</v>
      </c>
    </row>
    <row r="109" spans="1:14">
      <c r="A109" s="12" t="s">
        <v>4005</v>
      </c>
      <c r="B109" s="8">
        <v>408.319537459255</v>
      </c>
      <c r="C109" s="12">
        <v>93.709535901494604</v>
      </c>
      <c r="D109" s="8">
        <v>2.1234308305352201</v>
      </c>
      <c r="E109" s="12">
        <v>3.94175809801084E-3</v>
      </c>
      <c r="F109" s="8" t="s">
        <v>4006</v>
      </c>
      <c r="G109" s="12" t="s">
        <v>4007</v>
      </c>
      <c r="H109" s="12">
        <v>1</v>
      </c>
      <c r="I109" s="13" t="str">
        <f>HYPERLINK("http://www.ncbi.nlm.nih.gov/gene/2861", "2861")</f>
        <v>2861</v>
      </c>
      <c r="J109" s="13" t="str">
        <f>HYPERLINK("http://www.ncbi.nlm.nih.gov/nuccore/NM_005302", "NM_005302")</f>
        <v>NM_005302</v>
      </c>
      <c r="K109" s="12" t="s">
        <v>4008</v>
      </c>
      <c r="L109" s="13" t="str">
        <f>HYPERLINK("http://asia.ensembl.org/Homo_sapiens/Gene/Summary?g=ENSG00000170775", "ENSG00000170775")</f>
        <v>ENSG00000170775</v>
      </c>
      <c r="M109" s="12" t="s">
        <v>4009</v>
      </c>
      <c r="N109" s="12" t="s">
        <v>4010</v>
      </c>
    </row>
    <row r="110" spans="1:14">
      <c r="A110" s="12" t="s">
        <v>10781</v>
      </c>
      <c r="B110" s="8">
        <v>217.76455085820899</v>
      </c>
      <c r="C110" s="12">
        <v>50</v>
      </c>
      <c r="D110" s="8">
        <v>2.12276912180744</v>
      </c>
      <c r="E110" s="12">
        <v>2.3290394343488001E-5</v>
      </c>
      <c r="F110" s="8" t="s">
        <v>1911</v>
      </c>
      <c r="G110" s="12" t="s">
        <v>15869</v>
      </c>
      <c r="H110" s="12">
        <v>1</v>
      </c>
      <c r="I110" s="13" t="str">
        <f>HYPERLINK("http://www.ncbi.nlm.nih.gov/gene/84620", "84620")</f>
        <v>84620</v>
      </c>
      <c r="J110" s="12" t="s">
        <v>15870</v>
      </c>
      <c r="K110" s="12" t="s">
        <v>15871</v>
      </c>
      <c r="L110" s="13" t="str">
        <f>HYPERLINK("http://asia.ensembl.org/Homo_sapiens/Gene/Summary?g=ENSG00000144057", "ENSG00000144057")</f>
        <v>ENSG00000144057</v>
      </c>
      <c r="M110" s="12" t="s">
        <v>15872</v>
      </c>
      <c r="N110" s="12" t="s">
        <v>15873</v>
      </c>
    </row>
    <row r="111" spans="1:14">
      <c r="A111" s="12" t="s">
        <v>9644</v>
      </c>
      <c r="B111" s="8">
        <v>21014.9456334809</v>
      </c>
      <c r="C111" s="12">
        <v>4835.31047936088</v>
      </c>
      <c r="D111" s="8">
        <v>2.1197352897305199</v>
      </c>
      <c r="E111" s="12">
        <v>9.5905363945140499E-4</v>
      </c>
      <c r="F111" s="8" t="s">
        <v>9645</v>
      </c>
      <c r="G111" s="12" t="s">
        <v>15137</v>
      </c>
      <c r="H111" s="12">
        <v>1</v>
      </c>
      <c r="I111" s="13" t="str">
        <f>HYPERLINK("http://www.ncbi.nlm.nih.gov/gene/59", "59")</f>
        <v>59</v>
      </c>
      <c r="J111" s="12" t="s">
        <v>15138</v>
      </c>
      <c r="K111" s="12" t="s">
        <v>15139</v>
      </c>
      <c r="L111" s="13" t="str">
        <f>HYPERLINK("http://asia.ensembl.org/Homo_sapiens/Gene/Summary?g=ENSG00000107796", "ENSG00000107796")</f>
        <v>ENSG00000107796</v>
      </c>
      <c r="M111" s="12" t="s">
        <v>15140</v>
      </c>
      <c r="N111" s="12" t="s">
        <v>15141</v>
      </c>
    </row>
    <row r="112" spans="1:14">
      <c r="A112" s="12" t="s">
        <v>5810</v>
      </c>
      <c r="B112" s="8">
        <v>3446.8993263325701</v>
      </c>
      <c r="C112" s="12">
        <v>793.50928528881798</v>
      </c>
      <c r="D112" s="8">
        <v>2.1189801524530099</v>
      </c>
      <c r="E112" s="12">
        <v>5.1795509851514001E-4</v>
      </c>
      <c r="F112" s="8" t="s">
        <v>5811</v>
      </c>
      <c r="G112" s="12" t="s">
        <v>5812</v>
      </c>
      <c r="H112" s="12">
        <v>1</v>
      </c>
      <c r="I112" s="13" t="str">
        <f>HYPERLINK("http://www.ncbi.nlm.nih.gov/gene/22920", "22920")</f>
        <v>22920</v>
      </c>
      <c r="J112" s="12" t="s">
        <v>13915</v>
      </c>
      <c r="K112" s="12" t="s">
        <v>13916</v>
      </c>
      <c r="L112" s="13" t="str">
        <f>HYPERLINK("http://asia.ensembl.org/Homo_sapiens/Gene/Summary?g=ENSG00000075945", "ENSG00000075945")</f>
        <v>ENSG00000075945</v>
      </c>
      <c r="M112" s="12" t="s">
        <v>13917</v>
      </c>
      <c r="N112" s="12" t="s">
        <v>13918</v>
      </c>
    </row>
    <row r="113" spans="1:14">
      <c r="A113" s="12" t="s">
        <v>5335</v>
      </c>
      <c r="B113" s="8">
        <v>8362.8136177330398</v>
      </c>
      <c r="C113" s="12">
        <v>1928.6467486524</v>
      </c>
      <c r="D113" s="8">
        <v>2.1163994866872899</v>
      </c>
      <c r="E113" s="12">
        <v>2.6589670096058399E-3</v>
      </c>
      <c r="F113" s="8" t="s">
        <v>5336</v>
      </c>
      <c r="G113" s="12" t="s">
        <v>5337</v>
      </c>
      <c r="H113" s="12">
        <v>1</v>
      </c>
      <c r="I113" s="13" t="str">
        <f>HYPERLINK("http://www.ncbi.nlm.nih.gov/gene/57563", "57563")</f>
        <v>57563</v>
      </c>
      <c r="J113" s="13" t="str">
        <f>HYPERLINK("http://www.ncbi.nlm.nih.gov/nuccore/NM_020803", "NM_020803")</f>
        <v>NM_020803</v>
      </c>
      <c r="K113" s="12" t="s">
        <v>5338</v>
      </c>
      <c r="L113" s="13" t="str">
        <f>HYPERLINK("http://asia.ensembl.org/Homo_sapiens/Gene/Summary?g=ENSG00000145332", "ENSG00000145332")</f>
        <v>ENSG00000145332</v>
      </c>
      <c r="M113" s="12" t="s">
        <v>13688</v>
      </c>
      <c r="N113" s="12" t="s">
        <v>13689</v>
      </c>
    </row>
    <row r="114" spans="1:14">
      <c r="A114" s="12" t="s">
        <v>7862</v>
      </c>
      <c r="B114" s="8">
        <v>371.05754455880799</v>
      </c>
      <c r="C114" s="12">
        <v>85.671367324391994</v>
      </c>
      <c r="D114" s="8">
        <v>2.1147579217019001</v>
      </c>
      <c r="E114" s="12">
        <v>7.0141158003771099E-4</v>
      </c>
      <c r="F114" s="8" t="s">
        <v>7863</v>
      </c>
      <c r="G114" s="12" t="s">
        <v>14587</v>
      </c>
      <c r="H114" s="12">
        <v>4</v>
      </c>
      <c r="I114" s="12" t="s">
        <v>7864</v>
      </c>
      <c r="J114" s="12" t="s">
        <v>7865</v>
      </c>
      <c r="K114" s="12" t="s">
        <v>7866</v>
      </c>
      <c r="L114" s="12" t="s">
        <v>7867</v>
      </c>
      <c r="M114" s="12" t="s">
        <v>14588</v>
      </c>
      <c r="N114" s="12" t="s">
        <v>14589</v>
      </c>
    </row>
    <row r="115" spans="1:14">
      <c r="A115" s="12" t="s">
        <v>7372</v>
      </c>
      <c r="B115" s="8">
        <v>258.12164674455698</v>
      </c>
      <c r="C115" s="12">
        <v>59.864950738543797</v>
      </c>
      <c r="D115" s="8">
        <v>2.1082676370948401</v>
      </c>
      <c r="E115" s="12">
        <v>1.27453955337203E-2</v>
      </c>
      <c r="F115" s="8" t="s">
        <v>6523</v>
      </c>
      <c r="G115" s="12" t="s">
        <v>6524</v>
      </c>
      <c r="H115" s="12">
        <v>1</v>
      </c>
      <c r="I115" s="13" t="str">
        <f>HYPERLINK("http://www.ncbi.nlm.nih.gov/gene/3933", "3933")</f>
        <v>3933</v>
      </c>
      <c r="J115" s="12" t="s">
        <v>14407</v>
      </c>
      <c r="K115" s="12" t="s">
        <v>14408</v>
      </c>
      <c r="L115" s="13" t="str">
        <f>HYPERLINK("http://asia.ensembl.org/Homo_sapiens/Gene/Summary?g=ENSG00000160349", "ENSG00000160349")</f>
        <v>ENSG00000160349</v>
      </c>
      <c r="M115" s="12" t="s">
        <v>14409</v>
      </c>
      <c r="N115" s="12" t="s">
        <v>14410</v>
      </c>
    </row>
    <row r="116" spans="1:14">
      <c r="A116" s="12" t="s">
        <v>11348</v>
      </c>
      <c r="B116" s="8">
        <v>539.88797478626304</v>
      </c>
      <c r="C116" s="12">
        <v>125.417450959679</v>
      </c>
      <c r="D116" s="8">
        <v>2.1059219802113298</v>
      </c>
      <c r="E116" s="12">
        <v>8.5774192638432101E-4</v>
      </c>
      <c r="F116" s="8" t="s">
        <v>11349</v>
      </c>
      <c r="G116" s="12" t="s">
        <v>16113</v>
      </c>
      <c r="H116" s="12">
        <v>4</v>
      </c>
      <c r="I116" s="12" t="s">
        <v>11350</v>
      </c>
      <c r="J116" s="12" t="s">
        <v>11351</v>
      </c>
      <c r="K116" s="12" t="s">
        <v>11352</v>
      </c>
      <c r="L116" s="12" t="s">
        <v>11353</v>
      </c>
      <c r="M116" s="12" t="s">
        <v>16114</v>
      </c>
      <c r="N116" s="12" t="s">
        <v>16115</v>
      </c>
    </row>
    <row r="117" spans="1:14">
      <c r="A117" s="12" t="s">
        <v>10215</v>
      </c>
      <c r="B117" s="8">
        <v>3233.2796588874999</v>
      </c>
      <c r="C117" s="12">
        <v>752.75773648132304</v>
      </c>
      <c r="D117" s="8">
        <v>2.10274076168246</v>
      </c>
      <c r="E117" s="12">
        <v>8.9656408895908096E-4</v>
      </c>
      <c r="F117" s="8" t="s">
        <v>5017</v>
      </c>
      <c r="G117" s="12" t="s">
        <v>5018</v>
      </c>
      <c r="H117" s="12">
        <v>1</v>
      </c>
      <c r="I117" s="13" t="str">
        <f>HYPERLINK("http://www.ncbi.nlm.nih.gov/gene/10979", "10979")</f>
        <v>10979</v>
      </c>
      <c r="J117" s="13" t="str">
        <f>HYPERLINK("http://www.ncbi.nlm.nih.gov/nuccore/NM_001135000", "NM_001135000")</f>
        <v>NM_001135000</v>
      </c>
      <c r="K117" s="12" t="s">
        <v>10216</v>
      </c>
      <c r="L117" s="13" t="str">
        <f>HYPERLINK("http://asia.ensembl.org/Homo_sapiens/Gene/Summary?g=ENSG00000073712", "ENSG00000073712")</f>
        <v>ENSG00000073712</v>
      </c>
      <c r="M117" s="12" t="s">
        <v>13528</v>
      </c>
      <c r="N117" s="12" t="s">
        <v>13529</v>
      </c>
    </row>
    <row r="118" spans="1:14">
      <c r="A118" s="12" t="s">
        <v>4960</v>
      </c>
      <c r="B118" s="8">
        <v>665.60651245070699</v>
      </c>
      <c r="C118" s="12">
        <v>155.06441014007001</v>
      </c>
      <c r="D118" s="8">
        <v>2.1018019473438501</v>
      </c>
      <c r="E118" s="12">
        <v>5.6642030832519696E-4</v>
      </c>
      <c r="F118" s="8" t="s">
        <v>4961</v>
      </c>
      <c r="G118" s="12" t="s">
        <v>13510</v>
      </c>
      <c r="H118" s="12">
        <v>1</v>
      </c>
      <c r="I118" s="13" t="str">
        <f>HYPERLINK("http://www.ncbi.nlm.nih.gov/gene/54877", "54877")</f>
        <v>54877</v>
      </c>
      <c r="J118" s="13" t="str">
        <f>HYPERLINK("http://www.ncbi.nlm.nih.gov/nuccore/NM_017742", "NM_017742")</f>
        <v>NM_017742</v>
      </c>
      <c r="K118" s="12" t="s">
        <v>4962</v>
      </c>
      <c r="L118" s="13" t="str">
        <f>HYPERLINK("http://asia.ensembl.org/Homo_sapiens/Gene/Summary?g=ENSG00000141664", "ENSG00000141664")</f>
        <v>ENSG00000141664</v>
      </c>
      <c r="M118" s="12" t="s">
        <v>13511</v>
      </c>
      <c r="N118" s="12" t="s">
        <v>13512</v>
      </c>
    </row>
    <row r="119" spans="1:14">
      <c r="A119" s="12" t="s">
        <v>1431</v>
      </c>
      <c r="B119" s="8">
        <v>3418.7840484650401</v>
      </c>
      <c r="C119" s="12">
        <v>798.23401646534705</v>
      </c>
      <c r="D119" s="8">
        <v>2.0985996308921302</v>
      </c>
      <c r="E119" s="12">
        <v>3.0165239886069899E-4</v>
      </c>
      <c r="F119" s="8" t="s">
        <v>1432</v>
      </c>
      <c r="G119" s="12" t="s">
        <v>1433</v>
      </c>
      <c r="H119" s="12">
        <v>1</v>
      </c>
      <c r="I119" s="13" t="str">
        <f>HYPERLINK("http://www.ncbi.nlm.nih.gov/gene/2737", "2737")</f>
        <v>2737</v>
      </c>
      <c r="J119" s="13" t="str">
        <f>HYPERLINK("http://www.ncbi.nlm.nih.gov/nuccore/NM_000168", "NM_000168")</f>
        <v>NM_000168</v>
      </c>
      <c r="K119" s="12" t="s">
        <v>1434</v>
      </c>
      <c r="L119" s="13" t="str">
        <f>HYPERLINK("http://asia.ensembl.org/Homo_sapiens/Gene/Summary?g=ENSG00000106571", "ENSG00000106571")</f>
        <v>ENSG00000106571</v>
      </c>
      <c r="M119" s="12" t="s">
        <v>12332</v>
      </c>
      <c r="N119" s="12" t="s">
        <v>12333</v>
      </c>
    </row>
    <row r="120" spans="1:14">
      <c r="A120" s="12" t="s">
        <v>8505</v>
      </c>
      <c r="B120" s="8">
        <v>724.99660094793001</v>
      </c>
      <c r="C120" s="12">
        <v>169.37081807365999</v>
      </c>
      <c r="D120" s="8">
        <v>2.0977889058600998</v>
      </c>
      <c r="E120" s="12">
        <v>1.55665597011526E-4</v>
      </c>
      <c r="F120" s="8" t="s">
        <v>5148</v>
      </c>
      <c r="G120" s="12" t="s">
        <v>13609</v>
      </c>
      <c r="H120" s="12">
        <v>1</v>
      </c>
      <c r="I120" s="13" t="str">
        <f>HYPERLINK("http://www.ncbi.nlm.nih.gov/gene/55294", "55294")</f>
        <v>55294</v>
      </c>
      <c r="J120" s="12" t="s">
        <v>13610</v>
      </c>
      <c r="K120" s="12" t="s">
        <v>13611</v>
      </c>
      <c r="L120" s="13" t="str">
        <f>HYPERLINK("http://asia.ensembl.org/Homo_sapiens/Gene/Summary?g=ENSG00000109670", "ENSG00000109670")</f>
        <v>ENSG00000109670</v>
      </c>
      <c r="M120" s="12" t="s">
        <v>13612</v>
      </c>
      <c r="N120" s="12" t="s">
        <v>13613</v>
      </c>
    </row>
    <row r="121" spans="1:14">
      <c r="A121" s="12" t="s">
        <v>6790</v>
      </c>
      <c r="B121" s="8">
        <v>720.10139496304396</v>
      </c>
      <c r="C121" s="12">
        <v>168.92326434517301</v>
      </c>
      <c r="D121" s="8">
        <v>2.0918320299340798</v>
      </c>
      <c r="E121" s="12">
        <v>1.4143793162048801E-3</v>
      </c>
      <c r="F121" s="8" t="s">
        <v>6791</v>
      </c>
      <c r="G121" s="12" t="s">
        <v>6792</v>
      </c>
      <c r="H121" s="12">
        <v>1</v>
      </c>
      <c r="I121" s="13" t="str">
        <f>HYPERLINK("http://www.ncbi.nlm.nih.gov/gene/84669", "84669")</f>
        <v>84669</v>
      </c>
      <c r="J121" s="13" t="str">
        <f>HYPERLINK("http://www.ncbi.nlm.nih.gov/nuccore/NM_032582", "NM_032582")</f>
        <v>NM_032582</v>
      </c>
      <c r="K121" s="12" t="s">
        <v>6793</v>
      </c>
      <c r="L121" s="13" t="str">
        <f>HYPERLINK("http://asia.ensembl.org/Homo_sapiens/Gene/Summary?g=ENSG00000170832", "ENSG00000170832")</f>
        <v>ENSG00000170832</v>
      </c>
      <c r="M121" s="12" t="s">
        <v>14264</v>
      </c>
      <c r="N121" s="12" t="s">
        <v>14265</v>
      </c>
    </row>
    <row r="122" spans="1:14">
      <c r="A122" s="12" t="s">
        <v>2505</v>
      </c>
      <c r="B122" s="8">
        <v>1978.2445432114</v>
      </c>
      <c r="C122" s="12">
        <v>464.10240176784299</v>
      </c>
      <c r="D122" s="8">
        <v>2.0917057089956499</v>
      </c>
      <c r="E122" s="12">
        <v>8.9479254868709797E-4</v>
      </c>
      <c r="F122" s="8" t="s">
        <v>2506</v>
      </c>
      <c r="G122" s="12" t="s">
        <v>2507</v>
      </c>
      <c r="H122" s="12">
        <v>1</v>
      </c>
      <c r="I122" s="13" t="str">
        <f>HYPERLINK("http://www.ncbi.nlm.nih.gov/gene/3652", "3652")</f>
        <v>3652</v>
      </c>
      <c r="J122" s="13" t="str">
        <f>HYPERLINK("http://www.ncbi.nlm.nih.gov/nuccore/NM_005897", "NM_005897")</f>
        <v>NM_005897</v>
      </c>
      <c r="K122" s="12" t="s">
        <v>2508</v>
      </c>
      <c r="L122" s="13" t="str">
        <f>HYPERLINK("http://asia.ensembl.org/Homo_sapiens/Gene/Summary?g=ENSG00000197429", "ENSG00000197429")</f>
        <v>ENSG00000197429</v>
      </c>
      <c r="M122" s="12" t="s">
        <v>12679</v>
      </c>
      <c r="N122" s="12" t="s">
        <v>12680</v>
      </c>
    </row>
    <row r="123" spans="1:14">
      <c r="A123" s="12" t="s">
        <v>5489</v>
      </c>
      <c r="B123" s="8">
        <v>495.59070367466501</v>
      </c>
      <c r="C123" s="12">
        <v>116.630926496776</v>
      </c>
      <c r="D123" s="8">
        <v>2.0871987333523401</v>
      </c>
      <c r="E123" s="12">
        <v>1.61077478263832E-3</v>
      </c>
      <c r="F123" s="8" t="s">
        <v>5490</v>
      </c>
      <c r="G123" s="12" t="s">
        <v>5491</v>
      </c>
      <c r="H123" s="12">
        <v>1</v>
      </c>
      <c r="I123" s="13" t="str">
        <f>HYPERLINK("http://www.ncbi.nlm.nih.gov/gene/55728", "55728")</f>
        <v>55728</v>
      </c>
      <c r="J123" s="13" t="str">
        <f>HYPERLINK("http://www.ncbi.nlm.nih.gov/nuccore/NM_018177", "NM_018177")</f>
        <v>NM_018177</v>
      </c>
      <c r="K123" s="12" t="s">
        <v>5492</v>
      </c>
      <c r="L123" s="13" t="str">
        <f>HYPERLINK("http://asia.ensembl.org/Homo_sapiens/Gene/Summary?g=ENSG00000078177", "ENSG00000078177")</f>
        <v>ENSG00000078177</v>
      </c>
      <c r="M123" s="12" t="s">
        <v>13781</v>
      </c>
      <c r="N123" s="12" t="s">
        <v>13782</v>
      </c>
    </row>
    <row r="124" spans="1:14">
      <c r="A124" s="12" t="s">
        <v>7590</v>
      </c>
      <c r="B124" s="8">
        <v>212.24841541918701</v>
      </c>
      <c r="C124" s="12">
        <v>50</v>
      </c>
      <c r="D124" s="8">
        <v>2.0857537831049902</v>
      </c>
      <c r="E124" s="12">
        <v>1.5249345978843899E-3</v>
      </c>
      <c r="F124" s="8" t="s">
        <v>1901</v>
      </c>
      <c r="G124" s="12" t="s">
        <v>1902</v>
      </c>
      <c r="H124" s="12">
        <v>1</v>
      </c>
      <c r="I124" s="13" t="str">
        <f>HYPERLINK("http://www.ncbi.nlm.nih.gov/gene/84464", "84464")</f>
        <v>84464</v>
      </c>
      <c r="J124" s="13" t="str">
        <f>HYPERLINK("http://www.ncbi.nlm.nih.gov/nuccore/NM_032444", "NM_032444")</f>
        <v>NM_032444</v>
      </c>
      <c r="K124" s="12" t="s">
        <v>1903</v>
      </c>
      <c r="L124" s="13" t="str">
        <f>HYPERLINK("http://asia.ensembl.org/Homo_sapiens/Gene/Summary?g=ENSG00000188827", "ENSG00000188827")</f>
        <v>ENSG00000188827</v>
      </c>
      <c r="M124" s="12" t="s">
        <v>14475</v>
      </c>
      <c r="N124" s="12" t="s">
        <v>1904</v>
      </c>
    </row>
    <row r="125" spans="1:14">
      <c r="A125" s="12" t="s">
        <v>10808</v>
      </c>
      <c r="B125" s="8">
        <v>14112.415901017301</v>
      </c>
      <c r="C125" s="12">
        <v>3330.19307041001</v>
      </c>
      <c r="D125" s="8">
        <v>2.0832872575401198</v>
      </c>
      <c r="E125" s="12">
        <v>7.2437910579317101E-3</v>
      </c>
      <c r="F125" s="8" t="s">
        <v>8615</v>
      </c>
      <c r="G125" s="12" t="s">
        <v>8616</v>
      </c>
      <c r="H125" s="12">
        <v>1</v>
      </c>
      <c r="I125" s="13" t="str">
        <f>HYPERLINK("http://www.ncbi.nlm.nih.gov/gene/374383", "374383")</f>
        <v>374383</v>
      </c>
      <c r="J125" s="13" t="str">
        <f>HYPERLINK("http://www.ncbi.nlm.nih.gov/nuccore/NM_001202439", "NM_001202439")</f>
        <v>NM_001202439</v>
      </c>
      <c r="K125" s="12" t="s">
        <v>8617</v>
      </c>
      <c r="L125" s="13" t="str">
        <f>HYPERLINK("http://asia.ensembl.org/Homo_sapiens/Gene/Summary?g=ENSG00000188211", "ENSG00000188211")</f>
        <v>ENSG00000188211</v>
      </c>
      <c r="M125" s="12" t="s">
        <v>15910</v>
      </c>
      <c r="N125" s="12" t="s">
        <v>15911</v>
      </c>
    </row>
    <row r="126" spans="1:14">
      <c r="A126" s="12" t="s">
        <v>3472</v>
      </c>
      <c r="B126" s="8">
        <v>691.390439417062</v>
      </c>
      <c r="C126" s="12">
        <v>164.826256514291</v>
      </c>
      <c r="D126" s="8">
        <v>2.0685545746274099</v>
      </c>
      <c r="E126" s="12">
        <v>1.1165342641838E-4</v>
      </c>
      <c r="F126" s="8" t="s">
        <v>3473</v>
      </c>
      <c r="G126" s="12" t="s">
        <v>3474</v>
      </c>
      <c r="H126" s="12">
        <v>1</v>
      </c>
      <c r="I126" s="13" t="str">
        <f>HYPERLINK("http://www.ncbi.nlm.nih.gov/gene/63895", "63895")</f>
        <v>63895</v>
      </c>
      <c r="J126" s="13" t="str">
        <f>HYPERLINK("http://www.ncbi.nlm.nih.gov/nuccore/NM_022068", "NM_022068")</f>
        <v>NM_022068</v>
      </c>
      <c r="K126" s="12" t="s">
        <v>3475</v>
      </c>
      <c r="L126" s="13" t="str">
        <f>HYPERLINK("http://asia.ensembl.org/Homo_sapiens/Gene/Summary?g=ENSG00000154864", "ENSG00000154864")</f>
        <v>ENSG00000154864</v>
      </c>
      <c r="M126" s="12" t="s">
        <v>13002</v>
      </c>
      <c r="N126" s="12" t="s">
        <v>13003</v>
      </c>
    </row>
    <row r="127" spans="1:14">
      <c r="A127" s="12" t="s">
        <v>10281</v>
      </c>
      <c r="B127" s="8">
        <v>1086.5792143633801</v>
      </c>
      <c r="C127" s="12">
        <v>259.11108854153701</v>
      </c>
      <c r="D127" s="8">
        <v>2.0681506930260798</v>
      </c>
      <c r="E127" s="12">
        <v>1.3235941272958401E-3</v>
      </c>
      <c r="F127" s="8" t="s">
        <v>8754</v>
      </c>
      <c r="G127" s="12" t="s">
        <v>8485</v>
      </c>
      <c r="H127" s="12">
        <v>1</v>
      </c>
      <c r="I127" s="13" t="str">
        <f>HYPERLINK("http://www.ncbi.nlm.nih.gov/gene/7274", "7274")</f>
        <v>7274</v>
      </c>
      <c r="J127" s="13" t="str">
        <f>HYPERLINK("http://www.ncbi.nlm.nih.gov/nuccore/NM_000370", "NM_000370")</f>
        <v>NM_000370</v>
      </c>
      <c r="K127" s="12" t="s">
        <v>8755</v>
      </c>
      <c r="L127" s="13" t="str">
        <f>HYPERLINK("http://asia.ensembl.org/Homo_sapiens/Gene/Summary?g=ENSG00000137561", "ENSG00000137561")</f>
        <v>ENSG00000137561</v>
      </c>
      <c r="M127" s="12" t="s">
        <v>15356</v>
      </c>
      <c r="N127" s="12" t="s">
        <v>8756</v>
      </c>
    </row>
    <row r="128" spans="1:14">
      <c r="A128" s="12" t="s">
        <v>4291</v>
      </c>
      <c r="B128" s="8">
        <v>209.21588450905901</v>
      </c>
      <c r="C128" s="12">
        <v>49.999999999999901</v>
      </c>
      <c r="D128" s="8">
        <v>2.0649923909369998</v>
      </c>
      <c r="E128" s="12">
        <v>3.0951990210463698E-3</v>
      </c>
      <c r="F128" s="8" t="s">
        <v>4292</v>
      </c>
      <c r="G128" s="12" t="s">
        <v>13181</v>
      </c>
      <c r="H128" s="12">
        <v>1</v>
      </c>
      <c r="I128" s="13" t="str">
        <f>HYPERLINK("http://www.ncbi.nlm.nih.gov/gene/269", "269")</f>
        <v>269</v>
      </c>
      <c r="J128" s="12" t="s">
        <v>13182</v>
      </c>
      <c r="K128" s="12" t="s">
        <v>13183</v>
      </c>
      <c r="L128" s="13" t="str">
        <f>HYPERLINK("http://asia.ensembl.org/Homo_sapiens/Gene/Summary?g=ENSG00000135409", "ENSG00000135409")</f>
        <v>ENSG00000135409</v>
      </c>
      <c r="M128" s="12" t="s">
        <v>13184</v>
      </c>
      <c r="N128" s="12" t="s">
        <v>13185</v>
      </c>
    </row>
    <row r="129" spans="1:14">
      <c r="A129" s="12" t="s">
        <v>10699</v>
      </c>
      <c r="B129" s="8">
        <v>884.76668692715305</v>
      </c>
      <c r="C129" s="12">
        <v>211.451468372823</v>
      </c>
      <c r="D129" s="8">
        <v>2.0649704876633099</v>
      </c>
      <c r="E129" s="12">
        <v>2.1375613032398899E-3</v>
      </c>
      <c r="F129" s="8" t="s">
        <v>1187</v>
      </c>
      <c r="G129" s="12" t="s">
        <v>1188</v>
      </c>
      <c r="H129" s="12">
        <v>1</v>
      </c>
      <c r="I129" s="13" t="str">
        <f>HYPERLINK("http://www.ncbi.nlm.nih.gov/gene/55117", "55117")</f>
        <v>55117</v>
      </c>
      <c r="J129" s="13" t="str">
        <f>HYPERLINK("http://www.ncbi.nlm.nih.gov/nuccore/NM_018057", "NM_018057")</f>
        <v>NM_018057</v>
      </c>
      <c r="K129" s="12" t="s">
        <v>1189</v>
      </c>
      <c r="L129" s="13" t="str">
        <f>HYPERLINK("http://asia.ensembl.org/Homo_sapiens/Gene/Summary?g=ENSG00000072041", "ENSG00000072041")</f>
        <v>ENSG00000072041</v>
      </c>
      <c r="M129" s="12" t="s">
        <v>14437</v>
      </c>
      <c r="N129" s="12" t="s">
        <v>14438</v>
      </c>
    </row>
    <row r="130" spans="1:14">
      <c r="A130" s="12" t="s">
        <v>339</v>
      </c>
      <c r="B130" s="8">
        <v>14640.250760773601</v>
      </c>
      <c r="C130" s="12">
        <v>3500.1741715840599</v>
      </c>
      <c r="D130" s="8">
        <v>2.0644416459022401</v>
      </c>
      <c r="E130" s="12">
        <v>3.1918027900807401E-3</v>
      </c>
      <c r="F130" s="8" t="s">
        <v>340</v>
      </c>
      <c r="G130" s="12" t="s">
        <v>341</v>
      </c>
      <c r="H130" s="12">
        <v>1</v>
      </c>
      <c r="I130" s="13" t="str">
        <f>HYPERLINK("http://www.ncbi.nlm.nih.gov/gene/64746", "64746")</f>
        <v>64746</v>
      </c>
      <c r="J130" s="13" t="str">
        <f>HYPERLINK("http://www.ncbi.nlm.nih.gov/nuccore/NM_022735", "NM_022735")</f>
        <v>NM_022735</v>
      </c>
      <c r="K130" s="12" t="s">
        <v>342</v>
      </c>
      <c r="L130" s="13" t="str">
        <f>HYPERLINK("http://asia.ensembl.org/Homo_sapiens/Gene/Summary?g=ENSG00000182827", "ENSG00000182827")</f>
        <v>ENSG00000182827</v>
      </c>
      <c r="M130" s="12" t="s">
        <v>11952</v>
      </c>
      <c r="N130" s="12" t="s">
        <v>343</v>
      </c>
    </row>
    <row r="131" spans="1:14">
      <c r="A131" s="12" t="s">
        <v>2905</v>
      </c>
      <c r="B131" s="8">
        <v>463.03481344656399</v>
      </c>
      <c r="C131" s="12">
        <v>111.465934649882</v>
      </c>
      <c r="D131" s="8">
        <v>2.0545177948408702</v>
      </c>
      <c r="E131" s="12">
        <v>3.52069250498968E-3</v>
      </c>
      <c r="F131" s="8" t="s">
        <v>2906</v>
      </c>
      <c r="G131" s="12" t="s">
        <v>12835</v>
      </c>
      <c r="H131" s="12">
        <v>1</v>
      </c>
      <c r="I131" s="13" t="str">
        <f>HYPERLINK("http://www.ncbi.nlm.nih.gov/gene/84674", "84674")</f>
        <v>84674</v>
      </c>
      <c r="J131" s="13" t="str">
        <f>HYPERLINK("http://www.ncbi.nlm.nih.gov/nuccore/NM_032587", "NM_032587")</f>
        <v>NM_032587</v>
      </c>
      <c r="K131" s="12" t="s">
        <v>2907</v>
      </c>
      <c r="L131" s="13" t="str">
        <f>HYPERLINK("http://asia.ensembl.org/Homo_sapiens/Gene/Summary?g=ENSG00000132357", "ENSG00000132357")</f>
        <v>ENSG00000132357</v>
      </c>
      <c r="M131" s="12" t="s">
        <v>12836</v>
      </c>
      <c r="N131" s="12" t="s">
        <v>12837</v>
      </c>
    </row>
    <row r="132" spans="1:14">
      <c r="A132" s="12" t="s">
        <v>5375</v>
      </c>
      <c r="B132" s="8">
        <v>741.90399973992805</v>
      </c>
      <c r="C132" s="12">
        <v>179.69919390181201</v>
      </c>
      <c r="D132" s="8">
        <v>2.0456485811098601</v>
      </c>
      <c r="E132" s="12">
        <v>2.55516652250124E-3</v>
      </c>
      <c r="F132" s="8" t="s">
        <v>5376</v>
      </c>
      <c r="G132" s="12" t="s">
        <v>5377</v>
      </c>
      <c r="H132" s="12">
        <v>1</v>
      </c>
      <c r="I132" s="13" t="str">
        <f>HYPERLINK("http://www.ncbi.nlm.nih.gov/gene/7172", "7172")</f>
        <v>7172</v>
      </c>
      <c r="J132" s="13" t="str">
        <f>HYPERLINK("http://www.ncbi.nlm.nih.gov/nuccore/NM_000367", "NM_000367")</f>
        <v>NM_000367</v>
      </c>
      <c r="K132" s="12" t="s">
        <v>5378</v>
      </c>
      <c r="L132" s="13" t="str">
        <f>HYPERLINK("http://asia.ensembl.org/Homo_sapiens/Gene/Summary?g=ENSG00000137364", "ENSG00000137364")</f>
        <v>ENSG00000137364</v>
      </c>
      <c r="M132" s="12" t="s">
        <v>5379</v>
      </c>
      <c r="N132" s="12" t="s">
        <v>5380</v>
      </c>
    </row>
    <row r="133" spans="1:14">
      <c r="A133" s="12" t="s">
        <v>11498</v>
      </c>
      <c r="B133" s="8">
        <v>754.24764774583002</v>
      </c>
      <c r="C133" s="12">
        <v>183.41278333921099</v>
      </c>
      <c r="D133" s="8">
        <v>2.0399440979817398</v>
      </c>
      <c r="E133" s="12">
        <v>1.87706185314747E-3</v>
      </c>
      <c r="F133" s="8" t="s">
        <v>10456</v>
      </c>
      <c r="G133" s="12" t="s">
        <v>10457</v>
      </c>
      <c r="H133" s="12">
        <v>4</v>
      </c>
      <c r="I133" s="12" t="s">
        <v>10458</v>
      </c>
      <c r="J133" s="12" t="s">
        <v>10459</v>
      </c>
      <c r="K133" s="12" t="s">
        <v>6413</v>
      </c>
    </row>
    <row r="134" spans="1:14">
      <c r="A134" s="12" t="s">
        <v>7595</v>
      </c>
      <c r="B134" s="8">
        <v>232.71011547186399</v>
      </c>
      <c r="C134" s="12">
        <v>56.626574363047197</v>
      </c>
      <c r="D134" s="8">
        <v>2.03898276192428</v>
      </c>
      <c r="E134" s="12">
        <v>3.2162976858382498E-3</v>
      </c>
      <c r="F134" s="8" t="s">
        <v>3297</v>
      </c>
      <c r="G134" s="12" t="s">
        <v>14336</v>
      </c>
      <c r="H134" s="12">
        <v>1</v>
      </c>
      <c r="I134" s="13" t="str">
        <f>HYPERLINK("http://www.ncbi.nlm.nih.gov/gene/54941", "54941")</f>
        <v>54941</v>
      </c>
      <c r="J134" s="13" t="str">
        <f>HYPERLINK("http://www.ncbi.nlm.nih.gov/nuccore/NM_017831", "NM_017831")</f>
        <v>NM_017831</v>
      </c>
      <c r="K134" s="12" t="s">
        <v>3298</v>
      </c>
      <c r="L134" s="13" t="str">
        <f>HYPERLINK("http://asia.ensembl.org/Homo_sapiens/Gene/Summary?g=ENSG00000101695", "ENSG00000101695")</f>
        <v>ENSG00000101695</v>
      </c>
      <c r="M134" s="12" t="s">
        <v>14337</v>
      </c>
      <c r="N134" s="12" t="s">
        <v>14338</v>
      </c>
    </row>
    <row r="135" spans="1:14">
      <c r="A135" s="12" t="s">
        <v>7760</v>
      </c>
      <c r="B135" s="8">
        <v>258.14349091560598</v>
      </c>
      <c r="C135" s="12">
        <v>62.8923669688212</v>
      </c>
      <c r="D135" s="8">
        <v>2.03721638313763</v>
      </c>
      <c r="E135" s="12">
        <v>2.6668029081658301E-3</v>
      </c>
      <c r="F135" s="8" t="s">
        <v>7761</v>
      </c>
      <c r="G135" s="12" t="s">
        <v>7762</v>
      </c>
      <c r="H135" s="12">
        <v>1</v>
      </c>
      <c r="I135" s="13" t="str">
        <f>HYPERLINK("http://www.ncbi.nlm.nih.gov/gene/79027", "79027")</f>
        <v>79027</v>
      </c>
      <c r="J135" s="12" t="s">
        <v>14537</v>
      </c>
      <c r="K135" s="12" t="s">
        <v>14538</v>
      </c>
      <c r="L135" s="13" t="str">
        <f>HYPERLINK("http://asia.ensembl.org/Homo_sapiens/Gene/Summary?g=ENSG00000197343", "ENSG00000197343")</f>
        <v>ENSG00000197343</v>
      </c>
      <c r="M135" s="12" t="s">
        <v>14539</v>
      </c>
      <c r="N135" s="12" t="s">
        <v>14540</v>
      </c>
    </row>
    <row r="136" spans="1:14">
      <c r="A136" s="12" t="s">
        <v>1936</v>
      </c>
      <c r="B136" s="8">
        <v>207.64077628223899</v>
      </c>
      <c r="C136" s="12">
        <v>50.706181286122302</v>
      </c>
      <c r="D136" s="8">
        <v>2.0338562531350499</v>
      </c>
      <c r="E136" s="12">
        <v>1.20859109406068E-4</v>
      </c>
      <c r="F136" s="8" t="s">
        <v>1937</v>
      </c>
      <c r="G136" s="12" t="s">
        <v>1938</v>
      </c>
      <c r="H136" s="12">
        <v>1</v>
      </c>
      <c r="I136" s="13" t="str">
        <f>HYPERLINK("http://www.ncbi.nlm.nih.gov/gene/10886", "10886")</f>
        <v>10886</v>
      </c>
      <c r="J136" s="12" t="s">
        <v>12483</v>
      </c>
      <c r="K136" s="12" t="s">
        <v>12484</v>
      </c>
      <c r="L136" s="13" t="str">
        <f>HYPERLINK("http://asia.ensembl.org/Homo_sapiens/Gene/Summary?g=ENSG00000056291", "ENSG00000056291")</f>
        <v>ENSG00000056291</v>
      </c>
      <c r="M136" s="12" t="s">
        <v>12485</v>
      </c>
      <c r="N136" s="12" t="s">
        <v>12486</v>
      </c>
    </row>
    <row r="137" spans="1:14">
      <c r="A137" s="12" t="s">
        <v>296</v>
      </c>
      <c r="B137" s="8">
        <v>4375.4688455497098</v>
      </c>
      <c r="C137" s="12">
        <v>1069.14811173982</v>
      </c>
      <c r="D137" s="8">
        <v>2.0329758876127499</v>
      </c>
      <c r="E137" s="12">
        <v>6.0230857775617598E-4</v>
      </c>
      <c r="F137" s="8" t="s">
        <v>297</v>
      </c>
      <c r="G137" s="12" t="s">
        <v>298</v>
      </c>
      <c r="H137" s="12">
        <v>1</v>
      </c>
      <c r="I137" s="13" t="str">
        <f>HYPERLINK("http://www.ncbi.nlm.nih.gov/gene/10724", "10724")</f>
        <v>10724</v>
      </c>
      <c r="J137" s="12" t="s">
        <v>11934</v>
      </c>
      <c r="K137" s="12" t="s">
        <v>11935</v>
      </c>
      <c r="L137" s="13" t="str">
        <f>HYPERLINK("http://asia.ensembl.org/Homo_sapiens/Gene/Summary?g=ENSG00000198408", "ENSG00000198408")</f>
        <v>ENSG00000198408</v>
      </c>
      <c r="M137" s="12" t="s">
        <v>11936</v>
      </c>
      <c r="N137" s="12" t="s">
        <v>11937</v>
      </c>
    </row>
    <row r="138" spans="1:14">
      <c r="A138" s="12" t="s">
        <v>7061</v>
      </c>
      <c r="B138" s="8">
        <v>2514.9334190485001</v>
      </c>
      <c r="C138" s="12">
        <v>616.67734749988404</v>
      </c>
      <c r="D138" s="8">
        <v>2.0279324486094898</v>
      </c>
      <c r="E138" s="12">
        <v>2.2817554736963099E-3</v>
      </c>
      <c r="F138" s="8" t="s">
        <v>3297</v>
      </c>
      <c r="G138" s="12" t="s">
        <v>14336</v>
      </c>
      <c r="H138" s="12">
        <v>1</v>
      </c>
      <c r="I138" s="13" t="str">
        <f>HYPERLINK("http://www.ncbi.nlm.nih.gov/gene/54941", "54941")</f>
        <v>54941</v>
      </c>
      <c r="J138" s="13" t="str">
        <f>HYPERLINK("http://www.ncbi.nlm.nih.gov/nuccore/NM_017831", "NM_017831")</f>
        <v>NM_017831</v>
      </c>
      <c r="K138" s="12" t="s">
        <v>3298</v>
      </c>
      <c r="L138" s="13" t="str">
        <f>HYPERLINK("http://asia.ensembl.org/Homo_sapiens/Gene/Summary?g=ENSG00000101695", "ENSG00000101695")</f>
        <v>ENSG00000101695</v>
      </c>
      <c r="M138" s="12" t="s">
        <v>14337</v>
      </c>
      <c r="N138" s="12" t="s">
        <v>14338</v>
      </c>
    </row>
    <row r="139" spans="1:14">
      <c r="A139" s="12" t="s">
        <v>10239</v>
      </c>
      <c r="B139" s="8">
        <v>7097.8666631591004</v>
      </c>
      <c r="C139" s="12">
        <v>1741.8579017419299</v>
      </c>
      <c r="D139" s="8">
        <v>2.0267585371785901</v>
      </c>
      <c r="E139" s="12">
        <v>2.33919940031072E-3</v>
      </c>
      <c r="F139" s="8" t="s">
        <v>10240</v>
      </c>
      <c r="G139" s="12" t="s">
        <v>10241</v>
      </c>
      <c r="H139" s="12">
        <v>1</v>
      </c>
      <c r="I139" s="13" t="str">
        <f>HYPERLINK("http://www.ncbi.nlm.nih.gov/gene/1525", "1525")</f>
        <v>1525</v>
      </c>
      <c r="J139" s="12" t="s">
        <v>15332</v>
      </c>
      <c r="K139" s="12" t="s">
        <v>15333</v>
      </c>
      <c r="L139" s="13" t="str">
        <f>HYPERLINK("http://asia.ensembl.org/Homo_sapiens/Gene/Summary?g=ENSG00000154639", "ENSG00000154639")</f>
        <v>ENSG00000154639</v>
      </c>
      <c r="M139" s="12" t="s">
        <v>15334</v>
      </c>
      <c r="N139" s="12" t="s">
        <v>15335</v>
      </c>
    </row>
    <row r="140" spans="1:14">
      <c r="A140" s="12" t="s">
        <v>7636</v>
      </c>
      <c r="B140" s="8">
        <v>206.40603326519201</v>
      </c>
      <c r="C140" s="12">
        <v>50.706181286122202</v>
      </c>
      <c r="D140" s="8">
        <v>2.02525160811894</v>
      </c>
      <c r="E140" s="12">
        <v>8.4981961386370298E-5</v>
      </c>
      <c r="F140" s="8" t="s">
        <v>7637</v>
      </c>
      <c r="G140" s="12" t="s">
        <v>14488</v>
      </c>
      <c r="H140" s="12">
        <v>4</v>
      </c>
      <c r="I140" s="12" t="s">
        <v>7638</v>
      </c>
      <c r="J140" s="12" t="s">
        <v>14489</v>
      </c>
      <c r="K140" s="12" t="s">
        <v>14490</v>
      </c>
      <c r="L140" s="12" t="s">
        <v>7639</v>
      </c>
      <c r="M140" s="12" t="s">
        <v>14491</v>
      </c>
      <c r="N140" s="12" t="s">
        <v>14492</v>
      </c>
    </row>
    <row r="141" spans="1:14">
      <c r="A141" s="12" t="s">
        <v>1842</v>
      </c>
      <c r="B141" s="8">
        <v>1130.1840468410301</v>
      </c>
      <c r="C141" s="12">
        <v>278.66271426447702</v>
      </c>
      <c r="D141" s="8">
        <v>2.01996584559283</v>
      </c>
      <c r="E141" s="12">
        <v>1.6038793574128199E-3</v>
      </c>
      <c r="F141" s="8" t="s">
        <v>1843</v>
      </c>
      <c r="G141" s="12" t="s">
        <v>1844</v>
      </c>
      <c r="H141" s="12">
        <v>1</v>
      </c>
      <c r="I141" s="13" t="str">
        <f>HYPERLINK("http://www.ncbi.nlm.nih.gov/gene/5308", "5308")</f>
        <v>5308</v>
      </c>
      <c r="J141" s="12" t="s">
        <v>12444</v>
      </c>
      <c r="K141" s="12" t="s">
        <v>12445</v>
      </c>
      <c r="L141" s="13" t="str">
        <f>HYPERLINK("http://asia.ensembl.org/Homo_sapiens/Gene/Summary?g=ENSG00000164093", "ENSG00000164093")</f>
        <v>ENSG00000164093</v>
      </c>
      <c r="M141" s="12" t="s">
        <v>12446</v>
      </c>
      <c r="N141" s="12" t="s">
        <v>12447</v>
      </c>
    </row>
    <row r="142" spans="1:14">
      <c r="A142" s="12" t="s">
        <v>11113</v>
      </c>
      <c r="B142" s="8">
        <v>2121.7862267293599</v>
      </c>
      <c r="C142" s="12">
        <v>523.64219644418904</v>
      </c>
      <c r="D142" s="8">
        <v>2.0186260466171899</v>
      </c>
      <c r="E142" s="12">
        <v>7.9564826974080698E-4</v>
      </c>
      <c r="F142" s="8" t="s">
        <v>7898</v>
      </c>
      <c r="G142" s="12" t="s">
        <v>7899</v>
      </c>
      <c r="H142" s="12">
        <v>1</v>
      </c>
      <c r="I142" s="13" t="str">
        <f>HYPERLINK("http://www.ncbi.nlm.nih.gov/gene/10457", "10457")</f>
        <v>10457</v>
      </c>
      <c r="J142" s="12" t="s">
        <v>14600</v>
      </c>
      <c r="K142" s="12" t="s">
        <v>14601</v>
      </c>
      <c r="L142" s="13" t="str">
        <f>HYPERLINK("http://asia.ensembl.org/Homo_sapiens/Gene/Summary?g=ENSG00000136235", "ENSG00000136235")</f>
        <v>ENSG00000136235</v>
      </c>
      <c r="M142" s="12" t="s">
        <v>14602</v>
      </c>
      <c r="N142" s="12" t="s">
        <v>14603</v>
      </c>
    </row>
    <row r="143" spans="1:14">
      <c r="A143" s="12" t="s">
        <v>2216</v>
      </c>
      <c r="B143" s="8">
        <v>2114.2719193969801</v>
      </c>
      <c r="C143" s="12">
        <v>522.812526746976</v>
      </c>
      <c r="D143" s="8">
        <v>2.0157953215598599</v>
      </c>
      <c r="E143" s="12">
        <v>7.4989702189898495E-5</v>
      </c>
      <c r="F143" s="8" t="s">
        <v>2217</v>
      </c>
      <c r="G143" s="12" t="s">
        <v>2218</v>
      </c>
      <c r="H143" s="12">
        <v>1</v>
      </c>
      <c r="I143" s="13" t="str">
        <f>HYPERLINK("http://www.ncbi.nlm.nih.gov/gene/11081", "11081")</f>
        <v>11081</v>
      </c>
      <c r="J143" s="13" t="str">
        <f>HYPERLINK("http://www.ncbi.nlm.nih.gov/nuccore/NM_007035", "NM_007035")</f>
        <v>NM_007035</v>
      </c>
      <c r="K143" s="12" t="s">
        <v>2219</v>
      </c>
      <c r="L143" s="13" t="str">
        <f>HYPERLINK("http://asia.ensembl.org/Homo_sapiens/Gene/Summary?g=ENSG00000139330", "ENSG00000139330")</f>
        <v>ENSG00000139330</v>
      </c>
      <c r="M143" s="12" t="s">
        <v>2220</v>
      </c>
      <c r="N143" s="12" t="s">
        <v>2221</v>
      </c>
    </row>
    <row r="144" spans="1:14">
      <c r="A144" s="12" t="s">
        <v>5033</v>
      </c>
      <c r="B144" s="8">
        <v>1806.5477508260001</v>
      </c>
      <c r="C144" s="12">
        <v>447.33634147702998</v>
      </c>
      <c r="D144" s="8">
        <v>2.0138035163635002</v>
      </c>
      <c r="E144" s="12">
        <v>6.8151882533170997E-3</v>
      </c>
      <c r="F144" s="8" t="s">
        <v>5034</v>
      </c>
      <c r="G144" s="12" t="s">
        <v>5035</v>
      </c>
      <c r="H144" s="12">
        <v>1</v>
      </c>
      <c r="I144" s="13" t="str">
        <f>HYPERLINK("http://www.ncbi.nlm.nih.gov/gene/57531", "57531")</f>
        <v>57531</v>
      </c>
      <c r="J144" s="13" t="str">
        <f>HYPERLINK("http://www.ncbi.nlm.nih.gov/nuccore/NM_020771", "NM_020771")</f>
        <v>NM_020771</v>
      </c>
      <c r="K144" s="12" t="s">
        <v>5036</v>
      </c>
      <c r="L144" s="13" t="str">
        <f>HYPERLINK("http://asia.ensembl.org/Homo_sapiens/Gene/Summary?g=ENSG00000085382", "ENSG00000085382")</f>
        <v>ENSG00000085382</v>
      </c>
      <c r="M144" s="12" t="s">
        <v>13542</v>
      </c>
      <c r="N144" s="12" t="s">
        <v>13543</v>
      </c>
    </row>
    <row r="145" spans="1:14">
      <c r="A145" s="12" t="s">
        <v>238</v>
      </c>
      <c r="B145" s="8">
        <v>7358.1127526293803</v>
      </c>
      <c r="C145" s="12">
        <v>1823.1339714594401</v>
      </c>
      <c r="D145" s="8">
        <v>2.0129152032345998</v>
      </c>
      <c r="E145" s="12">
        <v>3.7457655777436002E-3</v>
      </c>
      <c r="F145" s="8" t="s">
        <v>239</v>
      </c>
      <c r="G145" s="12" t="s">
        <v>240</v>
      </c>
      <c r="H145" s="12">
        <v>1</v>
      </c>
      <c r="I145" s="13" t="str">
        <f>HYPERLINK("http://www.ncbi.nlm.nih.gov/gene/1316", "1316")</f>
        <v>1316</v>
      </c>
      <c r="J145" s="12" t="s">
        <v>11913</v>
      </c>
      <c r="K145" s="12" t="s">
        <v>11914</v>
      </c>
      <c r="L145" s="13" t="str">
        <f>HYPERLINK("http://asia.ensembl.org/Homo_sapiens/Gene/Summary?g=ENSG00000067082", "ENSG00000067082")</f>
        <v>ENSG00000067082</v>
      </c>
      <c r="M145" s="12" t="s">
        <v>11915</v>
      </c>
      <c r="N145" s="12" t="s">
        <v>11916</v>
      </c>
    </row>
    <row r="146" spans="1:14">
      <c r="A146" s="12" t="s">
        <v>11118</v>
      </c>
      <c r="B146" s="8">
        <v>600.06299078045595</v>
      </c>
      <c r="C146" s="12">
        <v>148.80506970386901</v>
      </c>
      <c r="D146" s="8">
        <v>2.0116902745015599</v>
      </c>
      <c r="E146" s="12">
        <v>3.0286290860336799E-3</v>
      </c>
      <c r="F146" s="8" t="s">
        <v>38</v>
      </c>
      <c r="G146" s="12" t="s">
        <v>38</v>
      </c>
      <c r="H146" s="12">
        <v>1</v>
      </c>
      <c r="I146" s="12" t="s">
        <v>38</v>
      </c>
      <c r="J146" s="12" t="s">
        <v>38</v>
      </c>
      <c r="K146" s="12" t="s">
        <v>38</v>
      </c>
      <c r="L146" s="13" t="str">
        <f>HYPERLINK("http://asia.ensembl.org/Homo_sapiens/Gene/Summary?g=ENSG00000179104", "ENSG00000179104")</f>
        <v>ENSG00000179104</v>
      </c>
      <c r="M146" s="12" t="s">
        <v>11119</v>
      </c>
      <c r="N146" s="12" t="s">
        <v>15982</v>
      </c>
    </row>
    <row r="147" spans="1:14">
      <c r="A147" s="12" t="s">
        <v>3513</v>
      </c>
      <c r="B147" s="8">
        <v>372.64637473877201</v>
      </c>
      <c r="C147" s="12">
        <v>92.419470913354104</v>
      </c>
      <c r="D147" s="8">
        <v>2.0115384891382702</v>
      </c>
      <c r="E147" s="12">
        <v>2.4128396727335299E-3</v>
      </c>
      <c r="F147" s="8" t="s">
        <v>3514</v>
      </c>
      <c r="G147" s="12" t="s">
        <v>13022</v>
      </c>
      <c r="H147" s="12">
        <v>1</v>
      </c>
      <c r="I147" s="13" t="str">
        <f>HYPERLINK("http://www.ncbi.nlm.nih.gov/gene/6328", "6328")</f>
        <v>6328</v>
      </c>
      <c r="J147" s="12" t="s">
        <v>13023</v>
      </c>
      <c r="K147" s="12" t="s">
        <v>13024</v>
      </c>
      <c r="L147" s="13" t="str">
        <f>HYPERLINK("http://asia.ensembl.org/Homo_sapiens/Gene/Summary?g=ENSG00000153253", "ENSG00000153253")</f>
        <v>ENSG00000153253</v>
      </c>
      <c r="M147" s="12" t="s">
        <v>13025</v>
      </c>
      <c r="N147" s="12" t="s">
        <v>13026</v>
      </c>
    </row>
    <row r="148" spans="1:14">
      <c r="A148" s="12" t="s">
        <v>4590</v>
      </c>
      <c r="B148" s="8">
        <v>642.29217354244895</v>
      </c>
      <c r="C148" s="12">
        <v>159.64235773096999</v>
      </c>
      <c r="D148" s="8">
        <v>2.0083862259882901</v>
      </c>
      <c r="E148" s="12">
        <v>6.6316984193949004E-4</v>
      </c>
      <c r="F148" s="8" t="s">
        <v>4591</v>
      </c>
      <c r="G148" s="12" t="s">
        <v>4592</v>
      </c>
      <c r="H148" s="12">
        <v>1</v>
      </c>
      <c r="I148" s="13" t="str">
        <f>HYPERLINK("http://www.ncbi.nlm.nih.gov/gene/7011", "7011")</f>
        <v>7011</v>
      </c>
      <c r="J148" s="13" t="str">
        <f>HYPERLINK("http://www.ncbi.nlm.nih.gov/nuccore/NM_007110", "NM_007110")</f>
        <v>NM_007110</v>
      </c>
      <c r="K148" s="12" t="s">
        <v>4593</v>
      </c>
      <c r="L148" s="13" t="str">
        <f>HYPERLINK("http://asia.ensembl.org/Homo_sapiens/Gene/Summary?g=ENSG00000129566", "ENSG00000129566")</f>
        <v>ENSG00000129566</v>
      </c>
      <c r="M148" s="12" t="s">
        <v>13303</v>
      </c>
      <c r="N148" s="12" t="s">
        <v>13304</v>
      </c>
    </row>
    <row r="149" spans="1:14">
      <c r="A149" s="12" t="s">
        <v>10537</v>
      </c>
      <c r="B149" s="8">
        <v>5157.0052162255997</v>
      </c>
      <c r="C149" s="12">
        <v>1282.54183269949</v>
      </c>
      <c r="D149" s="8">
        <v>2.0075276217795599</v>
      </c>
      <c r="E149" s="12">
        <v>2.8116884461565099E-3</v>
      </c>
      <c r="F149" s="8" t="s">
        <v>6645</v>
      </c>
      <c r="G149" s="12" t="s">
        <v>6646</v>
      </c>
      <c r="H149" s="12">
        <v>1</v>
      </c>
      <c r="I149" s="13" t="str">
        <f>HYPERLINK("http://www.ncbi.nlm.nih.gov/gene/23049", "23049")</f>
        <v>23049</v>
      </c>
      <c r="J149" s="13" t="str">
        <f>HYPERLINK("http://www.ncbi.nlm.nih.gov/nuccore/NM_015092", "NM_015092")</f>
        <v>NM_015092</v>
      </c>
      <c r="K149" s="12" t="s">
        <v>6647</v>
      </c>
      <c r="L149" s="13" t="str">
        <f>HYPERLINK("http://asia.ensembl.org/Homo_sapiens/Gene/Summary?g=ENSG00000157106", "ENSG00000157106")</f>
        <v>ENSG00000157106</v>
      </c>
      <c r="M149" s="12" t="s">
        <v>15544</v>
      </c>
      <c r="N149" s="12" t="s">
        <v>15545</v>
      </c>
    </row>
    <row r="150" spans="1:14">
      <c r="A150" s="12" t="s">
        <v>8627</v>
      </c>
      <c r="B150" s="8">
        <v>475.81614257306802</v>
      </c>
      <c r="C150" s="12">
        <v>118.367462615202</v>
      </c>
      <c r="D150" s="8">
        <v>2.0071316566612198</v>
      </c>
      <c r="E150" s="12">
        <v>1.6286034290535099E-3</v>
      </c>
      <c r="F150" s="8" t="s">
        <v>8628</v>
      </c>
      <c r="G150" s="12" t="s">
        <v>5001</v>
      </c>
      <c r="H150" s="12">
        <v>1</v>
      </c>
      <c r="I150" s="13" t="str">
        <f>HYPERLINK("http://www.ncbi.nlm.nih.gov/gene/9208", "9208")</f>
        <v>9208</v>
      </c>
      <c r="J150" s="12" t="s">
        <v>14793</v>
      </c>
      <c r="K150" s="12" t="s">
        <v>14794</v>
      </c>
      <c r="L150" s="13" t="str">
        <f>HYPERLINK("http://asia.ensembl.org/Homo_sapiens/Gene/Summary?g=ENSG00000124831", "ENSG00000124831")</f>
        <v>ENSG00000124831</v>
      </c>
      <c r="M150" s="12" t="s">
        <v>14795</v>
      </c>
      <c r="N150" s="12" t="s">
        <v>14796</v>
      </c>
    </row>
    <row r="151" spans="1:14">
      <c r="A151" s="12" t="s">
        <v>4321</v>
      </c>
      <c r="B151" s="8">
        <v>1149.20652693492</v>
      </c>
      <c r="C151" s="12">
        <v>286.10826527343698</v>
      </c>
      <c r="D151" s="8">
        <v>2.00600501096649</v>
      </c>
      <c r="E151" s="12">
        <v>3.6101390568566197E-4</v>
      </c>
      <c r="F151" s="8" t="s">
        <v>4322</v>
      </c>
      <c r="G151" s="12" t="s">
        <v>4323</v>
      </c>
      <c r="H151" s="12">
        <v>1</v>
      </c>
      <c r="I151" s="13" t="str">
        <f>HYPERLINK("http://www.ncbi.nlm.nih.gov/gene/5396", "5396")</f>
        <v>5396</v>
      </c>
      <c r="J151" s="12" t="s">
        <v>13195</v>
      </c>
      <c r="K151" s="12" t="s">
        <v>13196</v>
      </c>
      <c r="L151" s="13" t="str">
        <f>HYPERLINK("http://asia.ensembl.org/Homo_sapiens/Gene/Summary?g=ENSG00000116132", "ENSG00000116132")</f>
        <v>ENSG00000116132</v>
      </c>
      <c r="M151" s="12" t="s">
        <v>13197</v>
      </c>
      <c r="N151" s="12" t="s">
        <v>13198</v>
      </c>
    </row>
    <row r="152" spans="1:14">
      <c r="A152" s="12" t="s">
        <v>10471</v>
      </c>
      <c r="B152" s="8">
        <v>568.47412922105502</v>
      </c>
      <c r="C152" s="12">
        <v>141.875140575974</v>
      </c>
      <c r="D152" s="8">
        <v>2.00247287288656</v>
      </c>
      <c r="E152" s="12">
        <v>2.58056235115834E-3</v>
      </c>
      <c r="F152" s="8" t="s">
        <v>10472</v>
      </c>
      <c r="G152" s="12" t="s">
        <v>10473</v>
      </c>
      <c r="H152" s="12">
        <v>4</v>
      </c>
      <c r="I152" s="12" t="s">
        <v>10474</v>
      </c>
      <c r="J152" s="12" t="s">
        <v>10475</v>
      </c>
      <c r="K152" s="12" t="s">
        <v>10476</v>
      </c>
      <c r="L152" s="13" t="str">
        <f>HYPERLINK("http://asia.ensembl.org/Homo_sapiens/Gene/Summary?g=ENSG00000123545", "ENSG00000123545")</f>
        <v>ENSG00000123545</v>
      </c>
      <c r="M152" s="12" t="s">
        <v>15443</v>
      </c>
      <c r="N152" s="12" t="s">
        <v>6255</v>
      </c>
    </row>
    <row r="153" spans="1:14">
      <c r="A153" s="12" t="s">
        <v>10594</v>
      </c>
      <c r="B153" s="8">
        <v>577.41088209637996</v>
      </c>
      <c r="C153" s="12">
        <v>144.153757385539</v>
      </c>
      <c r="D153" s="8">
        <v>2.00198985603997</v>
      </c>
      <c r="E153" s="12">
        <v>1.00363369899157E-3</v>
      </c>
      <c r="F153" s="8" t="s">
        <v>8209</v>
      </c>
      <c r="G153" s="12" t="s">
        <v>8210</v>
      </c>
      <c r="H153" s="12">
        <v>1</v>
      </c>
      <c r="I153" s="13" t="str">
        <f>HYPERLINK("http://www.ncbi.nlm.nih.gov/gene/79912", "79912")</f>
        <v>79912</v>
      </c>
      <c r="J153" s="13" t="str">
        <f>HYPERLINK("http://www.ncbi.nlm.nih.gov/nuccore/NM_024854", "NM_024854")</f>
        <v>NM_024854</v>
      </c>
      <c r="K153" s="12" t="s">
        <v>8211</v>
      </c>
      <c r="L153" s="13" t="str">
        <f>HYPERLINK("http://asia.ensembl.org/Homo_sapiens/Gene/Summary?g=ENSG00000121350", "ENSG00000121350")</f>
        <v>ENSG00000121350</v>
      </c>
      <c r="M153" s="12" t="s">
        <v>14706</v>
      </c>
      <c r="N153" s="12" t="s">
        <v>14707</v>
      </c>
    </row>
    <row r="154" spans="1:14">
      <c r="A154" s="12" t="s">
        <v>1449</v>
      </c>
      <c r="B154" s="8">
        <v>880.426594015506</v>
      </c>
      <c r="C154" s="12">
        <v>220.177013622163</v>
      </c>
      <c r="D154" s="8">
        <v>1.9995388636154301</v>
      </c>
      <c r="E154" s="12">
        <v>6.2670135095102704E-4</v>
      </c>
      <c r="F154" s="8" t="s">
        <v>1450</v>
      </c>
      <c r="G154" s="12" t="s">
        <v>288</v>
      </c>
      <c r="H154" s="12">
        <v>1</v>
      </c>
      <c r="I154" s="13" t="str">
        <f>HYPERLINK("http://www.ncbi.nlm.nih.gov/gene/2773", "2773")</f>
        <v>2773</v>
      </c>
      <c r="J154" s="13" t="str">
        <f>HYPERLINK("http://www.ncbi.nlm.nih.gov/nuccore/NM_006496", "NM_006496")</f>
        <v>NM_006496</v>
      </c>
      <c r="K154" s="12" t="s">
        <v>1451</v>
      </c>
      <c r="L154" s="13" t="str">
        <f>HYPERLINK("http://asia.ensembl.org/Homo_sapiens/Gene/Summary?g=ENSG00000065135", "ENSG00000065135")</f>
        <v>ENSG00000065135</v>
      </c>
      <c r="M154" s="12" t="s">
        <v>1452</v>
      </c>
      <c r="N154" s="12" t="s">
        <v>1453</v>
      </c>
    </row>
    <row r="155" spans="1:14">
      <c r="A155" s="12" t="s">
        <v>4507</v>
      </c>
      <c r="B155" s="8">
        <v>4402.72385227414</v>
      </c>
      <c r="C155" s="12">
        <v>1101.1536487262199</v>
      </c>
      <c r="D155" s="8">
        <v>1.9993805699473799</v>
      </c>
      <c r="E155" s="12">
        <v>5.1482791555767004E-3</v>
      </c>
      <c r="F155" s="8" t="s">
        <v>4508</v>
      </c>
      <c r="G155" s="12" t="s">
        <v>4509</v>
      </c>
      <c r="H155" s="12">
        <v>1</v>
      </c>
      <c r="I155" s="13" t="str">
        <f>HYPERLINK("http://www.ncbi.nlm.nih.gov/gene/9559", "9559")</f>
        <v>9559</v>
      </c>
      <c r="J155" s="12" t="s">
        <v>13263</v>
      </c>
      <c r="K155" s="12" t="s">
        <v>13264</v>
      </c>
      <c r="L155" s="13" t="str">
        <f>HYPERLINK("http://asia.ensembl.org/Homo_sapiens/Gene/Summary?g=ENSG00000122958", "ENSG00000122958")</f>
        <v>ENSG00000122958</v>
      </c>
      <c r="M155" s="12" t="s">
        <v>13265</v>
      </c>
      <c r="N155" s="12" t="s">
        <v>13266</v>
      </c>
    </row>
    <row r="156" spans="1:14">
      <c r="A156" s="12" t="s">
        <v>10737</v>
      </c>
      <c r="B156" s="8">
        <v>67413.462803783303</v>
      </c>
      <c r="C156" s="12">
        <v>16895.929429141499</v>
      </c>
      <c r="D156" s="8">
        <v>1.99636101957627</v>
      </c>
      <c r="E156" s="12">
        <v>1.1887980957456001E-3</v>
      </c>
      <c r="F156" s="8" t="s">
        <v>2064</v>
      </c>
      <c r="G156" s="12" t="s">
        <v>2065</v>
      </c>
      <c r="H156" s="12">
        <v>1</v>
      </c>
      <c r="I156" s="13" t="str">
        <f>HYPERLINK("http://www.ncbi.nlm.nih.gov/gene/115207", "115207")</f>
        <v>115207</v>
      </c>
      <c r="J156" s="13" t="str">
        <f>HYPERLINK("http://www.ncbi.nlm.nih.gov/nuccore/NM_138444", "NM_138444")</f>
        <v>NM_138444</v>
      </c>
      <c r="K156" s="12" t="s">
        <v>2066</v>
      </c>
      <c r="L156" s="13" t="str">
        <f>HYPERLINK("http://asia.ensembl.org/Homo_sapiens/Gene/Summary?g=ENSG00000178695", "ENSG00000178695")</f>
        <v>ENSG00000178695</v>
      </c>
      <c r="M156" s="12" t="s">
        <v>2067</v>
      </c>
      <c r="N156" s="12" t="s">
        <v>2068</v>
      </c>
    </row>
    <row r="157" spans="1:14">
      <c r="A157" s="12" t="s">
        <v>7489</v>
      </c>
      <c r="B157" s="8">
        <v>12795.9105464368</v>
      </c>
      <c r="C157" s="12">
        <v>3217.7750021478601</v>
      </c>
      <c r="D157" s="8">
        <v>1.9915474554981101</v>
      </c>
      <c r="E157" s="12">
        <v>4.5188900672272596E-3</v>
      </c>
      <c r="F157" s="8" t="s">
        <v>1464</v>
      </c>
      <c r="G157" s="12" t="s">
        <v>1465</v>
      </c>
      <c r="H157" s="12">
        <v>1</v>
      </c>
      <c r="I157" s="13" t="str">
        <f>HYPERLINK("http://www.ncbi.nlm.nih.gov/gene/1108", "1108")</f>
        <v>1108</v>
      </c>
      <c r="J157" s="13" t="str">
        <f>HYPERLINK("http://www.ncbi.nlm.nih.gov/nuccore/NM_001273", "NM_001273")</f>
        <v>NM_001273</v>
      </c>
      <c r="K157" s="12" t="s">
        <v>1466</v>
      </c>
      <c r="L157" s="13" t="str">
        <f>HYPERLINK("http://asia.ensembl.org/Homo_sapiens/Gene/Summary?g=ENSG00000111642", "ENSG00000111642")</f>
        <v>ENSG00000111642</v>
      </c>
      <c r="M157" s="12" t="s">
        <v>14441</v>
      </c>
      <c r="N157" s="12" t="s">
        <v>14442</v>
      </c>
    </row>
    <row r="158" spans="1:14">
      <c r="A158" s="12" t="s">
        <v>9112</v>
      </c>
      <c r="B158" s="8">
        <v>334.40475398195298</v>
      </c>
      <c r="C158" s="12">
        <v>84.286393110462697</v>
      </c>
      <c r="D158" s="8">
        <v>1.9882237056557599</v>
      </c>
      <c r="E158" s="12">
        <v>7.0450669554680797E-3</v>
      </c>
      <c r="F158" s="8" t="s">
        <v>65</v>
      </c>
      <c r="G158" s="12" t="s">
        <v>11847</v>
      </c>
      <c r="H158" s="12">
        <v>1</v>
      </c>
      <c r="I158" s="13" t="str">
        <f>HYPERLINK("http://www.ncbi.nlm.nih.gov/gene/3620", "3620")</f>
        <v>3620</v>
      </c>
      <c r="J158" s="13" t="str">
        <f>HYPERLINK("http://www.ncbi.nlm.nih.gov/nuccore/NM_002164", "NM_002164")</f>
        <v>NM_002164</v>
      </c>
      <c r="K158" s="12" t="s">
        <v>66</v>
      </c>
      <c r="L158" s="13" t="str">
        <f>HYPERLINK("http://asia.ensembl.org/Homo_sapiens/Gene/Summary?g=ENSG00000131203", "ENSG00000131203")</f>
        <v>ENSG00000131203</v>
      </c>
      <c r="M158" s="12" t="s">
        <v>11848</v>
      </c>
      <c r="N158" s="12" t="s">
        <v>11849</v>
      </c>
    </row>
    <row r="159" spans="1:14">
      <c r="A159" s="12" t="s">
        <v>457</v>
      </c>
      <c r="B159" s="8">
        <v>4110.8805711272298</v>
      </c>
      <c r="C159" s="12">
        <v>1037.2144168637101</v>
      </c>
      <c r="D159" s="8">
        <v>1.9867332951604</v>
      </c>
      <c r="E159" s="12">
        <v>1.4662231033163301E-3</v>
      </c>
      <c r="F159" s="8" t="s">
        <v>458</v>
      </c>
      <c r="G159" s="12" t="s">
        <v>459</v>
      </c>
      <c r="H159" s="12">
        <v>1</v>
      </c>
      <c r="I159" s="13" t="str">
        <f>HYPERLINK("http://www.ncbi.nlm.nih.gov/gene/83604", "83604")</f>
        <v>83604</v>
      </c>
      <c r="J159" s="13" t="str">
        <f>HYPERLINK("http://www.ncbi.nlm.nih.gov/nuccore/NM_031442", "NM_031442")</f>
        <v>NM_031442</v>
      </c>
      <c r="K159" s="12" t="s">
        <v>460</v>
      </c>
      <c r="L159" s="13" t="str">
        <f>HYPERLINK("http://asia.ensembl.org/Homo_sapiens/Gene/Summary?g=ENSG00000147027", "ENSG00000147027")</f>
        <v>ENSG00000147027</v>
      </c>
      <c r="M159" s="12" t="s">
        <v>461</v>
      </c>
      <c r="N159" s="12" t="s">
        <v>462</v>
      </c>
    </row>
    <row r="160" spans="1:14">
      <c r="A160" s="12" t="s">
        <v>11292</v>
      </c>
      <c r="B160" s="8">
        <v>4415.0805508771</v>
      </c>
      <c r="C160" s="12">
        <v>1116.8813568207599</v>
      </c>
      <c r="D160" s="8">
        <v>1.9829638188380401</v>
      </c>
      <c r="E160" s="12">
        <v>1.5751664570580401E-3</v>
      </c>
      <c r="F160" s="8" t="s">
        <v>5336</v>
      </c>
      <c r="G160" s="12" t="s">
        <v>5337</v>
      </c>
      <c r="H160" s="12">
        <v>1</v>
      </c>
      <c r="I160" s="13" t="str">
        <f>HYPERLINK("http://www.ncbi.nlm.nih.gov/gene/57563", "57563")</f>
        <v>57563</v>
      </c>
      <c r="J160" s="13" t="str">
        <f>HYPERLINK("http://www.ncbi.nlm.nih.gov/nuccore/NM_020803", "NM_020803")</f>
        <v>NM_020803</v>
      </c>
      <c r="K160" s="12" t="s">
        <v>5338</v>
      </c>
      <c r="L160" s="13" t="str">
        <f>HYPERLINK("http://asia.ensembl.org/Homo_sapiens/Gene/Summary?g=ENSG00000145332", "ENSG00000145332")</f>
        <v>ENSG00000145332</v>
      </c>
      <c r="M160" s="12" t="s">
        <v>13688</v>
      </c>
      <c r="N160" s="12" t="s">
        <v>13689</v>
      </c>
    </row>
    <row r="161" spans="1:14">
      <c r="A161" s="12" t="s">
        <v>1211</v>
      </c>
      <c r="B161" s="8">
        <v>197.477071534732</v>
      </c>
      <c r="C161" s="12">
        <v>49.999999999999901</v>
      </c>
      <c r="D161" s="8">
        <v>1.9816851560573301</v>
      </c>
      <c r="E161" s="12">
        <v>7.6445626917604297E-6</v>
      </c>
      <c r="F161" s="8" t="s">
        <v>1212</v>
      </c>
      <c r="G161" s="12" t="s">
        <v>12261</v>
      </c>
      <c r="H161" s="12">
        <v>1</v>
      </c>
      <c r="I161" s="13" t="str">
        <f>HYPERLINK("http://www.ncbi.nlm.nih.gov/gene/6579", "6579")</f>
        <v>6579</v>
      </c>
      <c r="J161" s="12" t="s">
        <v>12262</v>
      </c>
      <c r="K161" s="12" t="s">
        <v>12263</v>
      </c>
      <c r="L161" s="13" t="str">
        <f>HYPERLINK("http://asia.ensembl.org/Homo_sapiens/Gene/Summary?g=ENSG00000084453", "ENSG00000084453")</f>
        <v>ENSG00000084453</v>
      </c>
      <c r="M161" s="12" t="s">
        <v>12264</v>
      </c>
      <c r="N161" s="12" t="s">
        <v>12265</v>
      </c>
    </row>
    <row r="162" spans="1:14">
      <c r="A162" s="12" t="s">
        <v>11813</v>
      </c>
      <c r="B162" s="8">
        <v>19771.2093232199</v>
      </c>
      <c r="C162" s="12">
        <v>5021.5908516865702</v>
      </c>
      <c r="D162" s="8">
        <v>1.97718472661055</v>
      </c>
      <c r="E162" s="12">
        <v>4.0383930961927002E-4</v>
      </c>
      <c r="F162" s="8" t="s">
        <v>10657</v>
      </c>
      <c r="G162" s="12" t="s">
        <v>10658</v>
      </c>
      <c r="H162" s="12">
        <v>1</v>
      </c>
      <c r="I162" s="13" t="str">
        <f>HYPERLINK("http://www.ncbi.nlm.nih.gov/gene/57542", "57542")</f>
        <v>57542</v>
      </c>
      <c r="J162" s="13" t="str">
        <f>HYPERLINK("http://www.ncbi.nlm.nih.gov/nuccore/NM_020782", "NM_020782")</f>
        <v>NM_020782</v>
      </c>
      <c r="K162" s="12" t="s">
        <v>10659</v>
      </c>
      <c r="L162" s="13" t="str">
        <f>HYPERLINK("http://asia.ensembl.org/Homo_sapiens/Gene/Summary?g=ENSG00000087448", "ENSG00000087448")</f>
        <v>ENSG00000087448</v>
      </c>
      <c r="M162" s="12" t="s">
        <v>15684</v>
      </c>
      <c r="N162" s="12" t="s">
        <v>15685</v>
      </c>
    </row>
    <row r="163" spans="1:14">
      <c r="A163" s="12" t="s">
        <v>3429</v>
      </c>
      <c r="B163" s="8">
        <v>27572.176758378799</v>
      </c>
      <c r="C163" s="12">
        <v>7038.7213043032598</v>
      </c>
      <c r="D163" s="8">
        <v>1.9698278999438801</v>
      </c>
      <c r="E163" s="12">
        <v>4.6699255411232103E-4</v>
      </c>
      <c r="F163" s="8" t="s">
        <v>3430</v>
      </c>
      <c r="G163" s="12" t="s">
        <v>3431</v>
      </c>
      <c r="H163" s="12">
        <v>1</v>
      </c>
      <c r="I163" s="13" t="str">
        <f>HYPERLINK("http://www.ncbi.nlm.nih.gov/gene/1946", "1946")</f>
        <v>1946</v>
      </c>
      <c r="J163" s="13" t="str">
        <f>HYPERLINK("http://www.ncbi.nlm.nih.gov/nuccore/NM_001962", "NM_001962")</f>
        <v>NM_001962</v>
      </c>
      <c r="K163" s="12" t="s">
        <v>3432</v>
      </c>
      <c r="L163" s="13" t="str">
        <f>HYPERLINK("http://asia.ensembl.org/Homo_sapiens/Gene/Summary?g=ENSG00000184349", "ENSG00000184349")</f>
        <v>ENSG00000184349</v>
      </c>
      <c r="M163" s="12" t="s">
        <v>12978</v>
      </c>
      <c r="N163" s="12" t="s">
        <v>12979</v>
      </c>
    </row>
    <row r="164" spans="1:14">
      <c r="A164" s="12" t="s">
        <v>6207</v>
      </c>
      <c r="B164" s="8">
        <v>913.41443345636401</v>
      </c>
      <c r="C164" s="12">
        <v>233.46460127432701</v>
      </c>
      <c r="D164" s="8">
        <v>1.9680657668502901</v>
      </c>
      <c r="E164" s="12">
        <v>1.6752145151094E-3</v>
      </c>
      <c r="F164" s="8" t="s">
        <v>6208</v>
      </c>
      <c r="G164" s="12" t="s">
        <v>6209</v>
      </c>
      <c r="H164" s="12">
        <v>1</v>
      </c>
      <c r="I164" s="13" t="str">
        <f>HYPERLINK("http://www.ncbi.nlm.nih.gov/gene/472", "472")</f>
        <v>472</v>
      </c>
      <c r="J164" s="13" t="str">
        <f>HYPERLINK("http://www.ncbi.nlm.nih.gov/nuccore/NM_000051", "NM_000051")</f>
        <v>NM_000051</v>
      </c>
      <c r="K164" s="12" t="s">
        <v>6210</v>
      </c>
      <c r="L164" s="13" t="str">
        <f>HYPERLINK("http://asia.ensembl.org/Homo_sapiens/Gene/Summary?g=ENSG00000149311", "ENSG00000149311")</f>
        <v>ENSG00000149311</v>
      </c>
      <c r="M164" s="12" t="s">
        <v>14090</v>
      </c>
      <c r="N164" s="12" t="s">
        <v>14091</v>
      </c>
    </row>
    <row r="165" spans="1:14">
      <c r="A165" s="12" t="s">
        <v>2594</v>
      </c>
      <c r="B165" s="8">
        <v>6735.4855434487399</v>
      </c>
      <c r="C165" s="12">
        <v>1727.00777064726</v>
      </c>
      <c r="D165" s="8">
        <v>1.9635073752621499</v>
      </c>
      <c r="E165" s="12">
        <v>3.09758536586625E-3</v>
      </c>
      <c r="F165" s="8" t="s">
        <v>2595</v>
      </c>
      <c r="G165" s="12" t="s">
        <v>2596</v>
      </c>
      <c r="H165" s="12">
        <v>1</v>
      </c>
      <c r="I165" s="13" t="str">
        <f>HYPERLINK("http://www.ncbi.nlm.nih.gov/gene/9653", "9653")</f>
        <v>9653</v>
      </c>
      <c r="J165" s="13" t="str">
        <f>HYPERLINK("http://www.ncbi.nlm.nih.gov/nuccore/NM_012262", "NM_012262")</f>
        <v>NM_012262</v>
      </c>
      <c r="K165" s="12" t="s">
        <v>2597</v>
      </c>
      <c r="L165" s="13" t="str">
        <f>HYPERLINK("http://asia.ensembl.org/Homo_sapiens/Gene/Summary?g=ENSG00000153936", "ENSG00000153936")</f>
        <v>ENSG00000153936</v>
      </c>
      <c r="M165" s="12" t="s">
        <v>12715</v>
      </c>
      <c r="N165" s="12" t="s">
        <v>12716</v>
      </c>
    </row>
    <row r="166" spans="1:14">
      <c r="A166" s="12" t="s">
        <v>10351</v>
      </c>
      <c r="B166" s="8">
        <v>1901.0780364851901</v>
      </c>
      <c r="C166" s="12">
        <v>488.93748513858498</v>
      </c>
      <c r="D166" s="8">
        <v>1.95909583261647</v>
      </c>
      <c r="E166" s="12">
        <v>1.6539214575738499E-3</v>
      </c>
      <c r="F166" s="8" t="s">
        <v>10352</v>
      </c>
      <c r="G166" s="12" t="s">
        <v>15410</v>
      </c>
      <c r="H166" s="12">
        <v>1</v>
      </c>
      <c r="I166" s="13" t="str">
        <f>HYPERLINK("http://www.ncbi.nlm.nih.gov/gene/167681", "167681")</f>
        <v>167681</v>
      </c>
      <c r="J166" s="12" t="s">
        <v>15411</v>
      </c>
      <c r="K166" s="12" t="s">
        <v>15412</v>
      </c>
      <c r="L166" s="13" t="str">
        <f>HYPERLINK("http://asia.ensembl.org/Homo_sapiens/Gene/Summary?g=ENSG00000146250", "ENSG00000146250")</f>
        <v>ENSG00000146250</v>
      </c>
      <c r="M166" s="12" t="s">
        <v>10353</v>
      </c>
      <c r="N166" s="12" t="s">
        <v>10354</v>
      </c>
    </row>
    <row r="167" spans="1:14">
      <c r="A167" s="12" t="s">
        <v>9943</v>
      </c>
      <c r="B167" s="8">
        <v>266.60146101846198</v>
      </c>
      <c r="C167" s="12">
        <v>68.699132537926005</v>
      </c>
      <c r="D167" s="8">
        <v>1.95632089924705</v>
      </c>
      <c r="E167" s="12">
        <v>2.53022721731768E-2</v>
      </c>
      <c r="F167" s="8" t="s">
        <v>7800</v>
      </c>
      <c r="G167" s="12" t="s">
        <v>7801</v>
      </c>
      <c r="H167" s="12">
        <v>1</v>
      </c>
      <c r="I167" s="13" t="str">
        <f>HYPERLINK("http://www.ncbi.nlm.nih.gov/gene/5979", "5979")</f>
        <v>5979</v>
      </c>
      <c r="J167" s="13" t="str">
        <f>HYPERLINK("http://www.ncbi.nlm.nih.gov/nuccore/NM_020630", "NM_020630")</f>
        <v>NM_020630</v>
      </c>
      <c r="K167" s="12" t="s">
        <v>9944</v>
      </c>
      <c r="L167" s="13" t="str">
        <f>HYPERLINK("http://asia.ensembl.org/Homo_sapiens/Gene/Summary?g=ENSG00000165731", "ENSG00000165731")</f>
        <v>ENSG00000165731</v>
      </c>
      <c r="M167" s="12" t="s">
        <v>15251</v>
      </c>
      <c r="N167" s="12" t="s">
        <v>15252</v>
      </c>
    </row>
    <row r="168" spans="1:14">
      <c r="A168" s="12" t="s">
        <v>10688</v>
      </c>
      <c r="B168" s="8">
        <v>415.11556608654001</v>
      </c>
      <c r="C168" s="12">
        <v>107.05986562592</v>
      </c>
      <c r="D168" s="8">
        <v>1.95509528442666</v>
      </c>
      <c r="E168" s="12">
        <v>7.8901409428394804E-3</v>
      </c>
      <c r="F168" s="8" t="s">
        <v>9027</v>
      </c>
      <c r="G168" s="12" t="s">
        <v>9028</v>
      </c>
      <c r="H168" s="12">
        <v>1</v>
      </c>
      <c r="I168" s="13" t="str">
        <f>HYPERLINK("http://www.ncbi.nlm.nih.gov/gene/79633", "79633")</f>
        <v>79633</v>
      </c>
      <c r="J168" s="13" t="str">
        <f>HYPERLINK("http://www.ncbi.nlm.nih.gov/nuccore/NM_024582", "NM_024582")</f>
        <v>NM_024582</v>
      </c>
      <c r="K168" s="12" t="s">
        <v>9029</v>
      </c>
      <c r="L168" s="13" t="str">
        <f>HYPERLINK("http://asia.ensembl.org/Homo_sapiens/Gene/Summary?g=ENSG00000196159", "ENSG00000196159")</f>
        <v>ENSG00000196159</v>
      </c>
      <c r="M168" s="12" t="s">
        <v>15717</v>
      </c>
      <c r="N168" s="12" t="s">
        <v>15718</v>
      </c>
    </row>
    <row r="169" spans="1:14">
      <c r="A169" s="12" t="s">
        <v>11789</v>
      </c>
      <c r="B169" s="8">
        <v>588.70700502561704</v>
      </c>
      <c r="C169" s="12">
        <v>152.293530448063</v>
      </c>
      <c r="D169" s="8">
        <v>1.9506951381048101</v>
      </c>
      <c r="E169" s="12">
        <v>2.0337201987415299E-3</v>
      </c>
      <c r="F169" s="8" t="s">
        <v>11790</v>
      </c>
      <c r="G169" s="12" t="s">
        <v>11791</v>
      </c>
      <c r="H169" s="12">
        <v>1</v>
      </c>
      <c r="I169" s="13" t="str">
        <f>HYPERLINK("http://www.ncbi.nlm.nih.gov/gene/93953", "93953")</f>
        <v>93953</v>
      </c>
      <c r="J169" s="13" t="str">
        <f>HYPERLINK("http://www.ncbi.nlm.nih.gov/nuccore/NM_052957", "NM_052957")</f>
        <v>NM_052957</v>
      </c>
      <c r="K169" s="12" t="s">
        <v>11792</v>
      </c>
      <c r="L169" s="13" t="str">
        <f>HYPERLINK("http://asia.ensembl.org/Homo_sapiens/Gene/Summary?g=ENSG00000147174", "ENSG00000147174")</f>
        <v>ENSG00000147174</v>
      </c>
      <c r="M169" s="12" t="s">
        <v>16201</v>
      </c>
      <c r="N169" s="12" t="s">
        <v>16202</v>
      </c>
    </row>
    <row r="170" spans="1:14">
      <c r="A170" s="12" t="s">
        <v>11230</v>
      </c>
      <c r="B170" s="8">
        <v>692.28380473988398</v>
      </c>
      <c r="C170" s="12">
        <v>179.33349926356701</v>
      </c>
      <c r="D170" s="8">
        <v>1.9487185912679801</v>
      </c>
      <c r="E170" s="12">
        <v>2.0339365866293199E-3</v>
      </c>
      <c r="F170" s="8" t="s">
        <v>2522</v>
      </c>
      <c r="G170" s="12" t="s">
        <v>2523</v>
      </c>
      <c r="H170" s="12">
        <v>1</v>
      </c>
      <c r="I170" s="13" t="str">
        <f>HYPERLINK("http://www.ncbi.nlm.nih.gov/gene/3037", "3037")</f>
        <v>3037</v>
      </c>
      <c r="J170" s="13" t="str">
        <f>HYPERLINK("http://www.ncbi.nlm.nih.gov/nuccore/NM_005328", "NM_005328")</f>
        <v>NM_005328</v>
      </c>
      <c r="K170" s="12" t="s">
        <v>2524</v>
      </c>
      <c r="L170" s="13" t="str">
        <f>HYPERLINK("http://asia.ensembl.org/Homo_sapiens/Gene/Summary?g=ENSG00000170961", "ENSG00000170961")</f>
        <v>ENSG00000170961</v>
      </c>
      <c r="M170" s="12" t="s">
        <v>2525</v>
      </c>
      <c r="N170" s="12" t="s">
        <v>2526</v>
      </c>
    </row>
    <row r="171" spans="1:14">
      <c r="A171" s="12" t="s">
        <v>91</v>
      </c>
      <c r="B171" s="8">
        <v>1848.45386717208</v>
      </c>
      <c r="C171" s="12">
        <v>479.30480227546599</v>
      </c>
      <c r="D171" s="8">
        <v>1.9473037380146401</v>
      </c>
      <c r="E171" s="12">
        <v>3.9424974050868197E-3</v>
      </c>
      <c r="F171" s="8" t="s">
        <v>92</v>
      </c>
      <c r="G171" s="12" t="s">
        <v>93</v>
      </c>
      <c r="H171" s="12">
        <v>1</v>
      </c>
      <c r="I171" s="13" t="str">
        <f>HYPERLINK("http://www.ncbi.nlm.nih.gov/gene/54431", "54431")</f>
        <v>54431</v>
      </c>
      <c r="J171" s="12" t="s">
        <v>11855</v>
      </c>
      <c r="K171" s="12" t="s">
        <v>11856</v>
      </c>
      <c r="L171" s="13" t="str">
        <f>HYPERLINK("http://asia.ensembl.org/Homo_sapiens/Gene/Summary?g=ENSG00000077232", "ENSG00000077232")</f>
        <v>ENSG00000077232</v>
      </c>
      <c r="M171" s="12" t="s">
        <v>11857</v>
      </c>
      <c r="N171" s="12" t="s">
        <v>11858</v>
      </c>
    </row>
    <row r="172" spans="1:14">
      <c r="A172" s="12" t="s">
        <v>11797</v>
      </c>
      <c r="B172" s="8">
        <v>14254.1079767509</v>
      </c>
      <c r="C172" s="12">
        <v>3696.6252488469299</v>
      </c>
      <c r="D172" s="8">
        <v>1.9470970575367901</v>
      </c>
      <c r="E172" s="12">
        <v>2.8314604723707298E-3</v>
      </c>
      <c r="F172" s="8" t="s">
        <v>11798</v>
      </c>
      <c r="G172" s="12" t="s">
        <v>16203</v>
      </c>
      <c r="H172" s="12">
        <v>1</v>
      </c>
      <c r="I172" s="13" t="str">
        <f>HYPERLINK("http://www.ncbi.nlm.nih.gov/gene/2764", "2764")</f>
        <v>2764</v>
      </c>
      <c r="J172" s="13" t="str">
        <f>HYPERLINK("http://www.ncbi.nlm.nih.gov/nuccore/NM_004124", "NM_004124")</f>
        <v>NM_004124</v>
      </c>
      <c r="K172" s="12" t="s">
        <v>11799</v>
      </c>
      <c r="L172" s="13" t="str">
        <f>HYPERLINK("http://asia.ensembl.org/Homo_sapiens/Gene/Summary?g=ENSG00000197045", "ENSG00000197045")</f>
        <v>ENSG00000197045</v>
      </c>
      <c r="M172" s="12" t="s">
        <v>16204</v>
      </c>
      <c r="N172" s="12" t="s">
        <v>16205</v>
      </c>
    </row>
    <row r="173" spans="1:14">
      <c r="A173" s="12" t="s">
        <v>11039</v>
      </c>
      <c r="B173" s="8">
        <v>192.58780555287399</v>
      </c>
      <c r="C173" s="12">
        <v>49.999999999999901</v>
      </c>
      <c r="D173" s="8">
        <v>1.94551635621687</v>
      </c>
      <c r="E173" s="12">
        <v>8.5213095393412708E-3</v>
      </c>
      <c r="F173" s="8" t="s">
        <v>2247</v>
      </c>
      <c r="G173" s="12" t="s">
        <v>2248</v>
      </c>
      <c r="H173" s="12">
        <v>1</v>
      </c>
      <c r="I173" s="13" t="str">
        <f>HYPERLINK("http://www.ncbi.nlm.nih.gov/gene/8749", "8749")</f>
        <v>8749</v>
      </c>
      <c r="J173" s="13" t="str">
        <f>HYPERLINK("http://www.ncbi.nlm.nih.gov/nuccore/NM_001190956", "NM_001190956")</f>
        <v>NM_001190956</v>
      </c>
      <c r="K173" s="12" t="s">
        <v>11040</v>
      </c>
      <c r="L173" s="13" t="str">
        <f>HYPERLINK("http://asia.ensembl.org/Homo_sapiens/Gene/Summary?g=ENSG00000168619", "ENSG00000168619")</f>
        <v>ENSG00000168619</v>
      </c>
      <c r="M173" s="12" t="s">
        <v>15964</v>
      </c>
      <c r="N173" s="12" t="s">
        <v>15965</v>
      </c>
    </row>
    <row r="174" spans="1:14">
      <c r="A174" s="12" t="s">
        <v>2583</v>
      </c>
      <c r="B174" s="8">
        <v>4578.2073957439998</v>
      </c>
      <c r="C174" s="12">
        <v>1190.34615964663</v>
      </c>
      <c r="D174" s="8">
        <v>1.9434016406588399</v>
      </c>
      <c r="E174" s="12">
        <v>3.6719837401007001E-3</v>
      </c>
      <c r="F174" s="8" t="s">
        <v>2584</v>
      </c>
      <c r="G174" s="12" t="s">
        <v>456</v>
      </c>
      <c r="H174" s="12">
        <v>1</v>
      </c>
      <c r="I174" s="13" t="str">
        <f>HYPERLINK("http://www.ncbi.nlm.nih.gov/gene/9188", "9188")</f>
        <v>9188</v>
      </c>
      <c r="J174" s="12" t="s">
        <v>12704</v>
      </c>
      <c r="K174" s="12" t="s">
        <v>12705</v>
      </c>
      <c r="L174" s="13" t="str">
        <f>HYPERLINK("http://asia.ensembl.org/Homo_sapiens/Gene/Summary?g=ENSG00000165732", "ENSG00000165732")</f>
        <v>ENSG00000165732</v>
      </c>
      <c r="M174" s="12" t="s">
        <v>12706</v>
      </c>
      <c r="N174" s="12" t="s">
        <v>12707</v>
      </c>
    </row>
    <row r="175" spans="1:14">
      <c r="A175" s="12" t="s">
        <v>5602</v>
      </c>
      <c r="B175" s="8">
        <v>21823.6254161908</v>
      </c>
      <c r="C175" s="12">
        <v>5684.8316431702196</v>
      </c>
      <c r="D175" s="8">
        <v>1.94070125775249</v>
      </c>
      <c r="E175" s="12">
        <v>9.2708777869795195E-5</v>
      </c>
      <c r="F175" s="8" t="s">
        <v>5603</v>
      </c>
      <c r="G175" s="12" t="s">
        <v>5604</v>
      </c>
      <c r="H175" s="12">
        <v>1</v>
      </c>
      <c r="I175" s="13" t="str">
        <f>HYPERLINK("http://www.ncbi.nlm.nih.gov/gene/1490", "1490")</f>
        <v>1490</v>
      </c>
      <c r="J175" s="13" t="str">
        <f>HYPERLINK("http://www.ncbi.nlm.nih.gov/nuccore/NM_001901", "NM_001901")</f>
        <v>NM_001901</v>
      </c>
      <c r="K175" s="12" t="s">
        <v>5605</v>
      </c>
      <c r="L175" s="13" t="str">
        <f>HYPERLINK("http://asia.ensembl.org/Homo_sapiens/Gene/Summary?g=ENSG00000118523", "ENSG00000118523")</f>
        <v>ENSG00000118523</v>
      </c>
      <c r="M175" s="12" t="s">
        <v>5606</v>
      </c>
      <c r="N175" s="12" t="s">
        <v>5607</v>
      </c>
    </row>
    <row r="176" spans="1:14">
      <c r="A176" s="12" t="s">
        <v>2916</v>
      </c>
      <c r="B176" s="8">
        <v>9441.2703438172794</v>
      </c>
      <c r="C176" s="12">
        <v>2463.9909010520701</v>
      </c>
      <c r="D176" s="8">
        <v>1.9379840619541799</v>
      </c>
      <c r="E176" s="12">
        <v>2.5995156234710401E-3</v>
      </c>
      <c r="F176" s="8" t="s">
        <v>2917</v>
      </c>
      <c r="G176" s="12" t="s">
        <v>2918</v>
      </c>
      <c r="H176" s="12">
        <v>1</v>
      </c>
      <c r="I176" s="13" t="str">
        <f>HYPERLINK("http://www.ncbi.nlm.nih.gov/gene/25831", "25831")</f>
        <v>25831</v>
      </c>
      <c r="J176" s="13" t="str">
        <f>HYPERLINK("http://www.ncbi.nlm.nih.gov/nuccore/NM_015382", "NM_015382")</f>
        <v>NM_015382</v>
      </c>
      <c r="K176" s="12" t="s">
        <v>2919</v>
      </c>
      <c r="L176" s="13" t="str">
        <f>HYPERLINK("http://asia.ensembl.org/Homo_sapiens/Gene/Summary?g=ENSG00000092148", "ENSG00000092148")</f>
        <v>ENSG00000092148</v>
      </c>
      <c r="M176" s="12" t="s">
        <v>12840</v>
      </c>
      <c r="N176" s="12" t="s">
        <v>12841</v>
      </c>
    </row>
    <row r="177" spans="1:14">
      <c r="A177" s="12" t="s">
        <v>9185</v>
      </c>
      <c r="B177" s="8">
        <v>13350.0476723142</v>
      </c>
      <c r="C177" s="12">
        <v>3488.2514397230202</v>
      </c>
      <c r="D177" s="8">
        <v>1.9362689525627199</v>
      </c>
      <c r="E177" s="12">
        <v>3.4401576690243399E-3</v>
      </c>
      <c r="F177" s="8" t="s">
        <v>9186</v>
      </c>
      <c r="G177" s="12" t="s">
        <v>9187</v>
      </c>
      <c r="H177" s="12">
        <v>1</v>
      </c>
      <c r="I177" s="13" t="str">
        <f>HYPERLINK("http://www.ncbi.nlm.nih.gov/gene/10643", "10643")</f>
        <v>10643</v>
      </c>
      <c r="J177" s="13" t="str">
        <f>HYPERLINK("http://www.ncbi.nlm.nih.gov/nuccore/NM_006547", "NM_006547")</f>
        <v>NM_006547</v>
      </c>
      <c r="K177" s="12" t="s">
        <v>9188</v>
      </c>
      <c r="L177" s="13" t="str">
        <f>HYPERLINK("http://asia.ensembl.org/Homo_sapiens/Gene/Summary?g=ENSG00000136231", "ENSG00000136231")</f>
        <v>ENSG00000136231</v>
      </c>
      <c r="M177" s="12" t="s">
        <v>15012</v>
      </c>
      <c r="N177" s="12" t="s">
        <v>15013</v>
      </c>
    </row>
    <row r="178" spans="1:14">
      <c r="A178" s="12" t="s">
        <v>10221</v>
      </c>
      <c r="B178" s="8">
        <v>191.31813623246501</v>
      </c>
      <c r="C178" s="12">
        <v>50</v>
      </c>
      <c r="D178" s="8">
        <v>1.93597364217553</v>
      </c>
      <c r="E178" s="12">
        <v>2.7743270858182297E-4</v>
      </c>
      <c r="F178" s="8" t="s">
        <v>382</v>
      </c>
      <c r="G178" s="12" t="s">
        <v>383</v>
      </c>
      <c r="H178" s="12">
        <v>1</v>
      </c>
      <c r="I178" s="13" t="str">
        <f>HYPERLINK("http://www.ncbi.nlm.nih.gov/gene/2289", "2289")</f>
        <v>2289</v>
      </c>
      <c r="J178" s="13" t="str">
        <f>HYPERLINK("http://www.ncbi.nlm.nih.gov/nuccore/NM_001145777", "NM_001145777")</f>
        <v>NM_001145777</v>
      </c>
      <c r="K178" s="12" t="s">
        <v>10222</v>
      </c>
      <c r="L178" s="13" t="str">
        <f>HYPERLINK("http://asia.ensembl.org/Homo_sapiens/Gene/Summary?g=ENSG00000096060", "ENSG00000096060")</f>
        <v>ENSG00000096060</v>
      </c>
      <c r="M178" s="12" t="s">
        <v>11967</v>
      </c>
      <c r="N178" s="12" t="s">
        <v>11968</v>
      </c>
    </row>
    <row r="179" spans="1:14">
      <c r="A179" s="12" t="s">
        <v>3038</v>
      </c>
      <c r="B179" s="8">
        <v>761.84355528646404</v>
      </c>
      <c r="C179" s="12">
        <v>199.98038070160601</v>
      </c>
      <c r="D179" s="8">
        <v>1.9296363007063999</v>
      </c>
      <c r="E179" s="12">
        <v>7.4635032086038102E-4</v>
      </c>
      <c r="F179" s="8" t="s">
        <v>3039</v>
      </c>
      <c r="G179" s="12" t="s">
        <v>12873</v>
      </c>
      <c r="H179" s="12">
        <v>1</v>
      </c>
      <c r="I179" s="13" t="str">
        <f>HYPERLINK("http://www.ncbi.nlm.nih.gov/gene/8526", "8526")</f>
        <v>8526</v>
      </c>
      <c r="J179" s="13" t="str">
        <f>HYPERLINK("http://www.ncbi.nlm.nih.gov/nuccore/NM_003647", "NM_003647")</f>
        <v>NM_003647</v>
      </c>
      <c r="K179" s="12" t="s">
        <v>3040</v>
      </c>
      <c r="L179" s="13" t="str">
        <f>HYPERLINK("http://asia.ensembl.org/Homo_sapiens/Gene/Summary?g=ENSG00000153933", "ENSG00000153933")</f>
        <v>ENSG00000153933</v>
      </c>
      <c r="M179" s="12" t="s">
        <v>12874</v>
      </c>
      <c r="N179" s="12" t="s">
        <v>12875</v>
      </c>
    </row>
    <row r="180" spans="1:14">
      <c r="A180" s="12" t="s">
        <v>6316</v>
      </c>
      <c r="B180" s="8">
        <v>4161.0766112297197</v>
      </c>
      <c r="C180" s="12">
        <v>1093.11080805093</v>
      </c>
      <c r="D180" s="8">
        <v>1.9285171970189501</v>
      </c>
      <c r="E180" s="12">
        <v>2.0725304905957298E-3</v>
      </c>
      <c r="F180" s="8" t="s">
        <v>6317</v>
      </c>
      <c r="G180" s="12" t="s">
        <v>6318</v>
      </c>
      <c r="H180" s="12">
        <v>1</v>
      </c>
      <c r="I180" s="13" t="str">
        <f>HYPERLINK("http://www.ncbi.nlm.nih.gov/gene/11342", "11342")</f>
        <v>11342</v>
      </c>
      <c r="J180" s="12" t="s">
        <v>14141</v>
      </c>
      <c r="K180" s="12" t="s">
        <v>14142</v>
      </c>
      <c r="L180" s="13" t="str">
        <f>HYPERLINK("http://asia.ensembl.org/Homo_sapiens/Gene/Summary?g=ENSG00000082996", "ENSG00000082996")</f>
        <v>ENSG00000082996</v>
      </c>
      <c r="M180" s="12" t="s">
        <v>14143</v>
      </c>
      <c r="N180" s="12" t="s">
        <v>14144</v>
      </c>
    </row>
    <row r="181" spans="1:14">
      <c r="A181" s="12" t="s">
        <v>2652</v>
      </c>
      <c r="B181" s="8">
        <v>9251.1220951224805</v>
      </c>
      <c r="C181" s="12">
        <v>2434.6451600263299</v>
      </c>
      <c r="D181" s="8">
        <v>1.92591684436932</v>
      </c>
      <c r="E181" s="12">
        <v>7.72375944308153E-4</v>
      </c>
      <c r="F181" s="8" t="s">
        <v>2653</v>
      </c>
      <c r="G181" s="12" t="s">
        <v>288</v>
      </c>
      <c r="H181" s="12">
        <v>1</v>
      </c>
      <c r="I181" s="13" t="str">
        <f>HYPERLINK("http://www.ncbi.nlm.nih.gov/gene/59345", "59345")</f>
        <v>59345</v>
      </c>
      <c r="J181" s="13" t="str">
        <f>HYPERLINK("http://www.ncbi.nlm.nih.gov/nuccore/NM_021629", "NM_021629")</f>
        <v>NM_021629</v>
      </c>
      <c r="K181" s="12" t="s">
        <v>2654</v>
      </c>
      <c r="L181" s="13" t="str">
        <f>HYPERLINK("http://asia.ensembl.org/Homo_sapiens/Gene/Summary?g=ENSG00000114450", "ENSG00000114450")</f>
        <v>ENSG00000114450</v>
      </c>
      <c r="M181" s="12" t="s">
        <v>12730</v>
      </c>
      <c r="N181" s="12" t="s">
        <v>12731</v>
      </c>
    </row>
    <row r="182" spans="1:14">
      <c r="A182" s="12" t="s">
        <v>1678</v>
      </c>
      <c r="B182" s="8">
        <v>189.12125685582799</v>
      </c>
      <c r="C182" s="12">
        <v>50</v>
      </c>
      <c r="D182" s="8">
        <v>1.91931152847519</v>
      </c>
      <c r="E182" s="12">
        <v>5.5260381451604203E-6</v>
      </c>
      <c r="F182" s="8" t="s">
        <v>1679</v>
      </c>
      <c r="G182" s="12" t="s">
        <v>1680</v>
      </c>
      <c r="H182" s="12">
        <v>1</v>
      </c>
      <c r="I182" s="13" t="str">
        <f>HYPERLINK("http://www.ncbi.nlm.nih.gov/gene/355", "355")</f>
        <v>355</v>
      </c>
      <c r="J182" s="12" t="s">
        <v>12386</v>
      </c>
      <c r="K182" s="12" t="s">
        <v>12387</v>
      </c>
      <c r="L182" s="13" t="str">
        <f>HYPERLINK("http://asia.ensembl.org/Homo_sapiens/Gene/Summary?g=ENSG00000026103", "ENSG00000026103")</f>
        <v>ENSG00000026103</v>
      </c>
      <c r="M182" s="12" t="s">
        <v>12388</v>
      </c>
      <c r="N182" s="12" t="s">
        <v>12389</v>
      </c>
    </row>
    <row r="183" spans="1:14">
      <c r="A183" s="12" t="s">
        <v>632</v>
      </c>
      <c r="B183" s="8">
        <v>956.14226116370901</v>
      </c>
      <c r="C183" s="12">
        <v>252.8825677472</v>
      </c>
      <c r="D183" s="8">
        <v>1.91875769845066</v>
      </c>
      <c r="E183" s="12">
        <v>9.7643629752601404E-4</v>
      </c>
      <c r="F183" s="8" t="s">
        <v>633</v>
      </c>
      <c r="G183" s="12" t="s">
        <v>634</v>
      </c>
      <c r="H183" s="12">
        <v>1</v>
      </c>
      <c r="I183" s="13" t="str">
        <f>HYPERLINK("http://www.ncbi.nlm.nih.gov/gene/55133", "55133")</f>
        <v>55133</v>
      </c>
      <c r="J183" s="13" t="str">
        <f>HYPERLINK("http://www.ncbi.nlm.nih.gov/nuccore/NM_018079", "NM_018079")</f>
        <v>NM_018079</v>
      </c>
      <c r="K183" s="12" t="s">
        <v>635</v>
      </c>
      <c r="L183" s="13" t="str">
        <f>HYPERLINK("http://asia.ensembl.org/Homo_sapiens/Gene/Summary?g=ENSG00000068784", "ENSG00000068784")</f>
        <v>ENSG00000068784</v>
      </c>
      <c r="M183" s="12" t="s">
        <v>12055</v>
      </c>
      <c r="N183" s="12" t="s">
        <v>636</v>
      </c>
    </row>
    <row r="184" spans="1:14">
      <c r="A184" s="12" t="s">
        <v>7091</v>
      </c>
      <c r="B184" s="8">
        <v>1247.59599421709</v>
      </c>
      <c r="C184" s="12">
        <v>330.21179338754598</v>
      </c>
      <c r="D184" s="8">
        <v>1.91768727404098</v>
      </c>
      <c r="E184" s="12">
        <v>1.6564929501863199E-2</v>
      </c>
      <c r="F184" s="8" t="s">
        <v>7092</v>
      </c>
      <c r="G184" s="12" t="s">
        <v>7093</v>
      </c>
      <c r="H184" s="12">
        <v>1</v>
      </c>
      <c r="I184" s="13" t="str">
        <f>HYPERLINK("http://www.ncbi.nlm.nih.gov/gene/80264", "80264")</f>
        <v>80264</v>
      </c>
      <c r="J184" s="12" t="s">
        <v>14348</v>
      </c>
      <c r="K184" s="12" t="s">
        <v>14349</v>
      </c>
      <c r="L184" s="13" t="str">
        <f>HYPERLINK("http://asia.ensembl.org/Homo_sapiens/Gene/Summary?g=ENSG00000278780", "ENSG00000278780")</f>
        <v>ENSG00000278780</v>
      </c>
      <c r="M184" s="12" t="s">
        <v>14350</v>
      </c>
      <c r="N184" s="12" t="s">
        <v>14351</v>
      </c>
    </row>
    <row r="185" spans="1:14">
      <c r="A185" s="12" t="s">
        <v>11195</v>
      </c>
      <c r="B185" s="8">
        <v>1391.59952694759</v>
      </c>
      <c r="C185" s="12">
        <v>368.46160538575299</v>
      </c>
      <c r="D185" s="8">
        <v>1.9171578937898199</v>
      </c>
      <c r="E185" s="12">
        <v>1.8208291404586299E-3</v>
      </c>
      <c r="F185" s="8" t="s">
        <v>4827</v>
      </c>
      <c r="G185" s="12" t="s">
        <v>4828</v>
      </c>
      <c r="H185" s="12">
        <v>1</v>
      </c>
      <c r="I185" s="13" t="str">
        <f>HYPERLINK("http://www.ncbi.nlm.nih.gov/gene/155006", "155006")</f>
        <v>155006</v>
      </c>
      <c r="J185" s="13" t="str">
        <f>HYPERLINK("http://www.ncbi.nlm.nih.gov/nuccore/NM_001085429", "NM_001085429")</f>
        <v>NM_001085429</v>
      </c>
      <c r="K185" s="12" t="s">
        <v>4829</v>
      </c>
      <c r="L185" s="13" t="str">
        <f>HYPERLINK("http://asia.ensembl.org/Homo_sapiens/Gene/Summary?g=ENSG00000214128", "ENSG00000214128")</f>
        <v>ENSG00000214128</v>
      </c>
      <c r="M185" s="12" t="s">
        <v>16027</v>
      </c>
      <c r="N185" s="12" t="s">
        <v>16028</v>
      </c>
    </row>
    <row r="186" spans="1:14">
      <c r="A186" s="12" t="s">
        <v>7816</v>
      </c>
      <c r="B186" s="8">
        <v>812.02015803291397</v>
      </c>
      <c r="C186" s="12">
        <v>215.37557622133099</v>
      </c>
      <c r="D186" s="8">
        <v>1.9146608858278</v>
      </c>
      <c r="E186" s="12">
        <v>8.2217703045073495E-6</v>
      </c>
      <c r="F186" s="8" t="s">
        <v>7817</v>
      </c>
      <c r="G186" s="12" t="s">
        <v>14561</v>
      </c>
      <c r="H186" s="12">
        <v>4</v>
      </c>
      <c r="I186" s="12" t="s">
        <v>7818</v>
      </c>
      <c r="J186" s="12" t="s">
        <v>14562</v>
      </c>
      <c r="K186" s="12" t="s">
        <v>14563</v>
      </c>
      <c r="L186" s="12" t="s">
        <v>7819</v>
      </c>
      <c r="M186" s="12" t="s">
        <v>14564</v>
      </c>
      <c r="N186" s="12" t="s">
        <v>14565</v>
      </c>
    </row>
    <row r="187" spans="1:14">
      <c r="A187" s="12" t="s">
        <v>6872</v>
      </c>
      <c r="B187" s="8">
        <v>897.06622190640701</v>
      </c>
      <c r="C187" s="12">
        <v>239.26710763914301</v>
      </c>
      <c r="D187" s="8">
        <v>1.90659240825068</v>
      </c>
      <c r="E187" s="12">
        <v>3.6099303375875199E-3</v>
      </c>
      <c r="F187" s="8" t="s">
        <v>6873</v>
      </c>
      <c r="G187" s="12" t="s">
        <v>6874</v>
      </c>
      <c r="H187" s="12">
        <v>1</v>
      </c>
      <c r="I187" s="13" t="str">
        <f>HYPERLINK("http://www.ncbi.nlm.nih.gov/gene/7574", "7574")</f>
        <v>7574</v>
      </c>
      <c r="J187" s="12" t="s">
        <v>14287</v>
      </c>
      <c r="K187" s="12" t="s">
        <v>14288</v>
      </c>
      <c r="L187" s="13" t="str">
        <f>HYPERLINK("http://asia.ensembl.org/Homo_sapiens/Gene/Summary?g=ENSG00000198393", "ENSG00000198393")</f>
        <v>ENSG00000198393</v>
      </c>
      <c r="M187" s="12" t="s">
        <v>14289</v>
      </c>
      <c r="N187" s="12" t="s">
        <v>14290</v>
      </c>
    </row>
    <row r="188" spans="1:14">
      <c r="A188" s="12" t="s">
        <v>10224</v>
      </c>
      <c r="B188" s="8">
        <v>1297.27198867979</v>
      </c>
      <c r="C188" s="12">
        <v>346.11483928471</v>
      </c>
      <c r="D188" s="8">
        <v>1.90615828780509</v>
      </c>
      <c r="E188" s="12">
        <v>1.8978710265538201E-3</v>
      </c>
      <c r="F188" s="8" t="s">
        <v>3971</v>
      </c>
      <c r="G188" s="12" t="s">
        <v>3972</v>
      </c>
      <c r="H188" s="12">
        <v>1</v>
      </c>
      <c r="I188" s="13" t="str">
        <f>HYPERLINK("http://www.ncbi.nlm.nih.gov/gene/3082", "3082")</f>
        <v>3082</v>
      </c>
      <c r="J188" s="12" t="s">
        <v>15325</v>
      </c>
      <c r="K188" s="12" t="s">
        <v>15326</v>
      </c>
      <c r="L188" s="13" t="str">
        <f>HYPERLINK("http://asia.ensembl.org/Homo_sapiens/Gene/Summary?g=ENSG00000019991", "ENSG00000019991")</f>
        <v>ENSG00000019991</v>
      </c>
      <c r="M188" s="12" t="s">
        <v>13144</v>
      </c>
      <c r="N188" s="12" t="s">
        <v>13145</v>
      </c>
    </row>
    <row r="189" spans="1:14">
      <c r="A189" s="12" t="s">
        <v>5024</v>
      </c>
      <c r="B189" s="8">
        <v>802.04864600407598</v>
      </c>
      <c r="C189" s="12">
        <v>214.59980237953101</v>
      </c>
      <c r="D189" s="8">
        <v>1.9020409943952701</v>
      </c>
      <c r="E189" s="12">
        <v>1.0392617793360599E-2</v>
      </c>
      <c r="F189" s="8" t="s">
        <v>5025</v>
      </c>
      <c r="G189" s="12" t="s">
        <v>5026</v>
      </c>
      <c r="H189" s="12">
        <v>1</v>
      </c>
      <c r="I189" s="13" t="str">
        <f>HYPERLINK("http://www.ncbi.nlm.nih.gov/gene/6498", "6498")</f>
        <v>6498</v>
      </c>
      <c r="J189" s="12" t="s">
        <v>13530</v>
      </c>
      <c r="K189" s="12" t="s">
        <v>13531</v>
      </c>
      <c r="L189" s="13" t="str">
        <f>HYPERLINK("http://asia.ensembl.org/Homo_sapiens/Gene/Summary?g=ENSG00000136603", "ENSG00000136603")</f>
        <v>ENSG00000136603</v>
      </c>
      <c r="M189" s="12" t="s">
        <v>13532</v>
      </c>
      <c r="N189" s="12" t="s">
        <v>13533</v>
      </c>
    </row>
    <row r="190" spans="1:14">
      <c r="A190" s="12" t="s">
        <v>1980</v>
      </c>
      <c r="B190" s="8">
        <v>4441.1308642484801</v>
      </c>
      <c r="C190" s="12">
        <v>1191.8630735148599</v>
      </c>
      <c r="D190" s="8">
        <v>1.8977085808437799</v>
      </c>
      <c r="E190" s="12">
        <v>4.3590258828034101E-3</v>
      </c>
      <c r="F190" s="8" t="s">
        <v>1981</v>
      </c>
      <c r="G190" s="12" t="s">
        <v>1982</v>
      </c>
      <c r="H190" s="12">
        <v>1</v>
      </c>
      <c r="I190" s="13" t="str">
        <f>HYPERLINK("http://www.ncbi.nlm.nih.gov/gene/4131", "4131")</f>
        <v>4131</v>
      </c>
      <c r="J190" s="13" t="str">
        <f>HYPERLINK("http://www.ncbi.nlm.nih.gov/nuccore/NM_005909", "NM_005909")</f>
        <v>NM_005909</v>
      </c>
      <c r="K190" s="12" t="s">
        <v>1983</v>
      </c>
      <c r="L190" s="13" t="str">
        <f>HYPERLINK("http://asia.ensembl.org/Homo_sapiens/Gene/Summary?g=ENSG00000131711", "ENSG00000131711")</f>
        <v>ENSG00000131711</v>
      </c>
      <c r="M190" s="12" t="s">
        <v>12500</v>
      </c>
      <c r="N190" s="12" t="s">
        <v>12501</v>
      </c>
    </row>
    <row r="191" spans="1:14">
      <c r="A191" s="12" t="s">
        <v>5424</v>
      </c>
      <c r="B191" s="8">
        <v>18675.378170881901</v>
      </c>
      <c r="C191" s="12">
        <v>5014.56044999818</v>
      </c>
      <c r="D191" s="8">
        <v>1.89694230502725</v>
      </c>
      <c r="E191" s="12">
        <v>1.87124061414464E-3</v>
      </c>
      <c r="F191" s="8" t="s">
        <v>5425</v>
      </c>
      <c r="G191" s="12" t="s">
        <v>5426</v>
      </c>
      <c r="H191" s="12">
        <v>1</v>
      </c>
      <c r="I191" s="13" t="str">
        <f>HYPERLINK("http://www.ncbi.nlm.nih.gov/gene/27436", "27436")</f>
        <v>27436</v>
      </c>
      <c r="J191" s="12" t="s">
        <v>13746</v>
      </c>
      <c r="K191" s="12" t="s">
        <v>13747</v>
      </c>
      <c r="L191" s="13" t="str">
        <f>HYPERLINK("http://asia.ensembl.org/Homo_sapiens/Gene/Summary?g=ENSG00000143924", "ENSG00000143924")</f>
        <v>ENSG00000143924</v>
      </c>
      <c r="M191" s="12" t="s">
        <v>13748</v>
      </c>
      <c r="N191" s="12" t="s">
        <v>13749</v>
      </c>
    </row>
    <row r="192" spans="1:14">
      <c r="A192" s="12" t="s">
        <v>6967</v>
      </c>
      <c r="B192" s="8">
        <v>1116.2102765350601</v>
      </c>
      <c r="C192" s="12">
        <v>300.01492899291799</v>
      </c>
      <c r="D192" s="8">
        <v>1.8955026365938501</v>
      </c>
      <c r="E192" s="12">
        <v>3.8614814422832499E-3</v>
      </c>
      <c r="F192" s="8" t="s">
        <v>6968</v>
      </c>
      <c r="G192" s="12" t="s">
        <v>14320</v>
      </c>
      <c r="H192" s="12">
        <v>1</v>
      </c>
      <c r="I192" s="13" t="str">
        <f>HYPERLINK("http://www.ncbi.nlm.nih.gov/gene/91056", "91056")</f>
        <v>91056</v>
      </c>
      <c r="J192" s="13" t="str">
        <f>HYPERLINK("http://www.ncbi.nlm.nih.gov/nuccore/NM_138368", "NM_138368")</f>
        <v>NM_138368</v>
      </c>
      <c r="K192" s="12" t="s">
        <v>6969</v>
      </c>
      <c r="L192" s="13" t="str">
        <f>HYPERLINK("http://asia.ensembl.org/Homo_sapiens/Gene/Summary?g=ENSG00000254470", "ENSG00000254470")</f>
        <v>ENSG00000254470</v>
      </c>
      <c r="M192" s="12" t="s">
        <v>6970</v>
      </c>
      <c r="N192" s="12" t="s">
        <v>6971</v>
      </c>
    </row>
    <row r="193" spans="1:14">
      <c r="A193" s="12" t="s">
        <v>11213</v>
      </c>
      <c r="B193" s="8">
        <v>313.12230241482098</v>
      </c>
      <c r="C193" s="12">
        <v>84.1880999072159</v>
      </c>
      <c r="D193" s="8">
        <v>1.89503804330064</v>
      </c>
      <c r="E193" s="12">
        <v>7.0635655771191597E-3</v>
      </c>
      <c r="F193" s="8" t="s">
        <v>38</v>
      </c>
      <c r="G193" s="12" t="s">
        <v>38</v>
      </c>
      <c r="H193" s="12">
        <v>1</v>
      </c>
      <c r="I193" s="12" t="s">
        <v>38</v>
      </c>
      <c r="J193" s="12" t="s">
        <v>38</v>
      </c>
      <c r="K193" s="12" t="s">
        <v>38</v>
      </c>
      <c r="L193" s="13" t="str">
        <f>HYPERLINK("http://asia.ensembl.org/Homo_sapiens/Gene/Summary?g=ENSG00000118242", "ENSG00000118242")</f>
        <v>ENSG00000118242</v>
      </c>
      <c r="M193" s="12" t="s">
        <v>11214</v>
      </c>
      <c r="N193" s="12" t="s">
        <v>16034</v>
      </c>
    </row>
    <row r="194" spans="1:14">
      <c r="A194" s="12" t="s">
        <v>7869</v>
      </c>
      <c r="B194" s="8">
        <v>225.511336811582</v>
      </c>
      <c r="C194" s="12">
        <v>60.661732691612499</v>
      </c>
      <c r="D194" s="8">
        <v>1.8943413502528701</v>
      </c>
      <c r="E194" s="12">
        <v>3.6760355162159599E-4</v>
      </c>
      <c r="F194" s="8" t="s">
        <v>7870</v>
      </c>
      <c r="G194" s="12" t="s">
        <v>7871</v>
      </c>
      <c r="H194" s="12">
        <v>1</v>
      </c>
      <c r="I194" s="13" t="str">
        <f>HYPERLINK("http://www.ncbi.nlm.nih.gov/gene/7571", "7571")</f>
        <v>7571</v>
      </c>
      <c r="J194" s="13" t="str">
        <f>HYPERLINK("http://www.ncbi.nlm.nih.gov/nuccore/NM_145911", "NM_145911")</f>
        <v>NM_145911</v>
      </c>
      <c r="K194" s="12" t="s">
        <v>7872</v>
      </c>
      <c r="L194" s="13" t="str">
        <f>HYPERLINK("http://asia.ensembl.org/Homo_sapiens/Gene/Summary?g=ENSG00000167377", "ENSG00000167377")</f>
        <v>ENSG00000167377</v>
      </c>
      <c r="M194" s="12" t="s">
        <v>14590</v>
      </c>
      <c r="N194" s="12" t="s">
        <v>14591</v>
      </c>
    </row>
    <row r="195" spans="1:14">
      <c r="A195" s="12" t="s">
        <v>6191</v>
      </c>
      <c r="B195" s="8">
        <v>3599.9218213366898</v>
      </c>
      <c r="C195" s="12">
        <v>970.62062725697899</v>
      </c>
      <c r="D195" s="8">
        <v>1.8909861510813899</v>
      </c>
      <c r="E195" s="12">
        <v>7.7156650482765397E-4</v>
      </c>
      <c r="F195" s="8" t="s">
        <v>6192</v>
      </c>
      <c r="G195" s="12" t="s">
        <v>6193</v>
      </c>
      <c r="H195" s="12">
        <v>1</v>
      </c>
      <c r="I195" s="13" t="str">
        <f>HYPERLINK("http://www.ncbi.nlm.nih.gov/gene/9043", "9043")</f>
        <v>9043</v>
      </c>
      <c r="J195" s="12" t="s">
        <v>14085</v>
      </c>
      <c r="K195" s="12" t="s">
        <v>14086</v>
      </c>
      <c r="L195" s="13" t="str">
        <f>HYPERLINK("http://asia.ensembl.org/Homo_sapiens/Gene/Summary?g=ENSG00000008294", "ENSG00000008294")</f>
        <v>ENSG00000008294</v>
      </c>
      <c r="M195" s="12" t="s">
        <v>14087</v>
      </c>
      <c r="N195" s="12" t="s">
        <v>14088</v>
      </c>
    </row>
    <row r="196" spans="1:14">
      <c r="A196" s="12" t="s">
        <v>10551</v>
      </c>
      <c r="B196" s="8">
        <v>5281.6345665880099</v>
      </c>
      <c r="C196" s="12">
        <v>1427.0456613758699</v>
      </c>
      <c r="D196" s="8">
        <v>1.8879529880124399</v>
      </c>
      <c r="E196" s="12">
        <v>9.0638403191811397E-4</v>
      </c>
      <c r="F196" s="8" t="s">
        <v>8983</v>
      </c>
      <c r="G196" s="12" t="s">
        <v>8984</v>
      </c>
      <c r="H196" s="12">
        <v>1</v>
      </c>
      <c r="I196" s="13" t="str">
        <f>HYPERLINK("http://www.ncbi.nlm.nih.gov/gene/23554", "23554")</f>
        <v>23554</v>
      </c>
      <c r="J196" s="13" t="str">
        <f>HYPERLINK("http://www.ncbi.nlm.nih.gov/nuccore/NM_012338", "NM_012338")</f>
        <v>NM_012338</v>
      </c>
      <c r="K196" s="12" t="s">
        <v>8985</v>
      </c>
      <c r="L196" s="13" t="str">
        <f>HYPERLINK("http://asia.ensembl.org/Homo_sapiens/Gene/Summary?g=ENSG00000106025", "ENSG00000106025")</f>
        <v>ENSG00000106025</v>
      </c>
      <c r="M196" s="12" t="s">
        <v>15560</v>
      </c>
      <c r="N196" s="12" t="s">
        <v>15561</v>
      </c>
    </row>
    <row r="197" spans="1:14">
      <c r="A197" s="12" t="s">
        <v>2521</v>
      </c>
      <c r="B197" s="8">
        <v>184.81867604342301</v>
      </c>
      <c r="C197" s="12">
        <v>49.999999999999901</v>
      </c>
      <c r="D197" s="8">
        <v>1.8861105493613199</v>
      </c>
      <c r="E197" s="12">
        <v>5.4196029775772697E-4</v>
      </c>
      <c r="F197" s="8" t="s">
        <v>2522</v>
      </c>
      <c r="G197" s="12" t="s">
        <v>2523</v>
      </c>
      <c r="H197" s="12">
        <v>1</v>
      </c>
      <c r="I197" s="13" t="str">
        <f>HYPERLINK("http://www.ncbi.nlm.nih.gov/gene/3037", "3037")</f>
        <v>3037</v>
      </c>
      <c r="J197" s="13" t="str">
        <f>HYPERLINK("http://www.ncbi.nlm.nih.gov/nuccore/NM_005328", "NM_005328")</f>
        <v>NM_005328</v>
      </c>
      <c r="K197" s="12" t="s">
        <v>2524</v>
      </c>
      <c r="L197" s="13" t="str">
        <f>HYPERLINK("http://asia.ensembl.org/Homo_sapiens/Gene/Summary?g=ENSG00000170961", "ENSG00000170961")</f>
        <v>ENSG00000170961</v>
      </c>
      <c r="M197" s="12" t="s">
        <v>2525</v>
      </c>
      <c r="N197" s="12" t="s">
        <v>2526</v>
      </c>
    </row>
    <row r="198" spans="1:14">
      <c r="A198" s="12" t="s">
        <v>10443</v>
      </c>
      <c r="B198" s="8">
        <v>23368.482827229302</v>
      </c>
      <c r="C198" s="12">
        <v>6330.5473561179397</v>
      </c>
      <c r="D198" s="8">
        <v>1.8841619223441901</v>
      </c>
      <c r="E198" s="12">
        <v>5.8478300019404903E-3</v>
      </c>
      <c r="F198" s="8" t="s">
        <v>10444</v>
      </c>
      <c r="G198" s="12" t="s">
        <v>10445</v>
      </c>
      <c r="H198" s="12">
        <v>1</v>
      </c>
      <c r="I198" s="13" t="str">
        <f>HYPERLINK("http://www.ncbi.nlm.nih.gov/gene/55000", "55000")</f>
        <v>55000</v>
      </c>
      <c r="J198" s="13" t="str">
        <f>HYPERLINK("http://www.ncbi.nlm.nih.gov/nuccore/NR_002323", "NR_002323")</f>
        <v>NR_002323</v>
      </c>
      <c r="K198" s="12" t="s">
        <v>199</v>
      </c>
      <c r="L198" s="12" t="s">
        <v>38</v>
      </c>
      <c r="M198" s="12" t="s">
        <v>38</v>
      </c>
      <c r="N198" s="12" t="s">
        <v>38</v>
      </c>
    </row>
    <row r="199" spans="1:14">
      <c r="A199" s="12" t="s">
        <v>11800</v>
      </c>
      <c r="B199" s="8">
        <v>7702.2199536518501</v>
      </c>
      <c r="C199" s="12">
        <v>2092.7900021232299</v>
      </c>
      <c r="D199" s="8">
        <v>1.87984676923535</v>
      </c>
      <c r="E199" s="12">
        <v>2.4698175853783802E-4</v>
      </c>
      <c r="F199" s="8" t="s">
        <v>11801</v>
      </c>
      <c r="G199" s="12" t="s">
        <v>11802</v>
      </c>
      <c r="H199" s="12">
        <v>1</v>
      </c>
      <c r="I199" s="13" t="str">
        <f>HYPERLINK("http://www.ncbi.nlm.nih.gov/gene/284996", "284996")</f>
        <v>284996</v>
      </c>
      <c r="J199" s="13" t="str">
        <f>HYPERLINK("http://www.ncbi.nlm.nih.gov/nuccore/NM_173647", "NM_173647")</f>
        <v>NM_173647</v>
      </c>
      <c r="K199" s="12" t="s">
        <v>11803</v>
      </c>
      <c r="L199" s="13" t="str">
        <f>HYPERLINK("http://asia.ensembl.org/Homo_sapiens/Gene/Summary?g=ENSG00000163162", "ENSG00000163162")</f>
        <v>ENSG00000163162</v>
      </c>
      <c r="M199" s="12" t="s">
        <v>16206</v>
      </c>
      <c r="N199" s="12" t="s">
        <v>16207</v>
      </c>
    </row>
    <row r="200" spans="1:14">
      <c r="A200" s="12" t="s">
        <v>443</v>
      </c>
      <c r="B200" s="8">
        <v>3302.0252554304798</v>
      </c>
      <c r="C200" s="12">
        <v>897.98568953394999</v>
      </c>
      <c r="D200" s="8">
        <v>1.8785867954912401</v>
      </c>
      <c r="E200" s="12">
        <v>9.6542919419542397E-5</v>
      </c>
      <c r="F200" s="8" t="s">
        <v>444</v>
      </c>
      <c r="G200" s="12" t="s">
        <v>445</v>
      </c>
      <c r="H200" s="12">
        <v>1</v>
      </c>
      <c r="I200" s="13" t="str">
        <f>HYPERLINK("http://www.ncbi.nlm.nih.gov/gene/57003", "57003")</f>
        <v>57003</v>
      </c>
      <c r="J200" s="13" t="str">
        <f>HYPERLINK("http://www.ncbi.nlm.nih.gov/nuccore/NM_020198", "NM_020198")</f>
        <v>NM_020198</v>
      </c>
      <c r="K200" s="12" t="s">
        <v>446</v>
      </c>
      <c r="L200" s="13" t="str">
        <f>HYPERLINK("http://asia.ensembl.org/Homo_sapiens/Gene/Summary?g=ENSG00000108588", "ENSG00000108588")</f>
        <v>ENSG00000108588</v>
      </c>
      <c r="M200" s="12" t="s">
        <v>11983</v>
      </c>
      <c r="N200" s="12" t="s">
        <v>11984</v>
      </c>
    </row>
    <row r="201" spans="1:14">
      <c r="A201" s="12" t="s">
        <v>9022</v>
      </c>
      <c r="B201" s="8">
        <v>576.63020133190003</v>
      </c>
      <c r="C201" s="12">
        <v>157.35499813379201</v>
      </c>
      <c r="D201" s="8">
        <v>1.87362339647697</v>
      </c>
      <c r="E201" s="12">
        <v>4.2961969244772699E-4</v>
      </c>
      <c r="F201" s="8" t="s">
        <v>4927</v>
      </c>
      <c r="G201" s="12" t="s">
        <v>13483</v>
      </c>
      <c r="H201" s="12">
        <v>1</v>
      </c>
      <c r="I201" s="13" t="str">
        <f>HYPERLINK("http://www.ncbi.nlm.nih.gov/gene/54477", "54477")</f>
        <v>54477</v>
      </c>
      <c r="J201" s="12" t="s">
        <v>14973</v>
      </c>
      <c r="K201" s="12" t="s">
        <v>14974</v>
      </c>
      <c r="L201" s="13" t="str">
        <f>HYPERLINK("http://asia.ensembl.org/Homo_sapiens/Gene/Summary?g=ENSG00000052126", "ENSG00000052126")</f>
        <v>ENSG00000052126</v>
      </c>
      <c r="M201" s="12" t="s">
        <v>13486</v>
      </c>
      <c r="N201" s="12" t="s">
        <v>13487</v>
      </c>
    </row>
    <row r="202" spans="1:14">
      <c r="A202" s="12" t="s">
        <v>1964</v>
      </c>
      <c r="B202" s="8">
        <v>924.81176494716499</v>
      </c>
      <c r="C202" s="12">
        <v>252.416730734628</v>
      </c>
      <c r="D202" s="8">
        <v>1.8733522126472</v>
      </c>
      <c r="E202" s="12">
        <v>6.2924356113455097E-3</v>
      </c>
      <c r="F202" s="8" t="s">
        <v>1965</v>
      </c>
      <c r="G202" s="12" t="s">
        <v>12491</v>
      </c>
      <c r="H202" s="12">
        <v>1</v>
      </c>
      <c r="I202" s="13" t="str">
        <f>HYPERLINK("http://www.ncbi.nlm.nih.gov/gene/3764", "3764")</f>
        <v>3764</v>
      </c>
      <c r="J202" s="13" t="str">
        <f>HYPERLINK("http://www.ncbi.nlm.nih.gov/nuccore/NM_004982", "NM_004982")</f>
        <v>NM_004982</v>
      </c>
      <c r="K202" s="12" t="s">
        <v>1966</v>
      </c>
      <c r="L202" s="13" t="str">
        <f>HYPERLINK("http://asia.ensembl.org/Homo_sapiens/Gene/Summary?g=ENSG00000121361", "ENSG00000121361")</f>
        <v>ENSG00000121361</v>
      </c>
      <c r="M202" s="12" t="s">
        <v>12492</v>
      </c>
      <c r="N202" s="12" t="s">
        <v>12493</v>
      </c>
    </row>
    <row r="203" spans="1:14">
      <c r="A203" s="12" t="s">
        <v>10615</v>
      </c>
      <c r="B203" s="8">
        <v>4634.6500005284897</v>
      </c>
      <c r="C203" s="12">
        <v>1266.0956070294201</v>
      </c>
      <c r="D203" s="8">
        <v>1.87207404201748</v>
      </c>
      <c r="E203" s="12">
        <v>1.2001040772503301E-3</v>
      </c>
      <c r="F203" s="8" t="s">
        <v>2451</v>
      </c>
      <c r="G203" s="12" t="s">
        <v>2452</v>
      </c>
      <c r="H203" s="12">
        <v>1</v>
      </c>
      <c r="I203" s="13" t="str">
        <f>HYPERLINK("http://www.ncbi.nlm.nih.gov/gene/23075", "23075")</f>
        <v>23075</v>
      </c>
      <c r="J203" s="13" t="str">
        <f>HYPERLINK("http://www.ncbi.nlm.nih.gov/nuccore/NM_015055", "NM_015055")</f>
        <v>NM_015055</v>
      </c>
      <c r="K203" s="12" t="s">
        <v>2453</v>
      </c>
      <c r="L203" s="13" t="str">
        <f>HYPERLINK("http://asia.ensembl.org/Homo_sapiens/Gene/Summary?g=ENSG00000133789", "ENSG00000133789")</f>
        <v>ENSG00000133789</v>
      </c>
      <c r="M203" s="12" t="s">
        <v>12648</v>
      </c>
      <c r="N203" s="12" t="s">
        <v>12649</v>
      </c>
    </row>
    <row r="204" spans="1:14">
      <c r="A204" s="12" t="s">
        <v>10613</v>
      </c>
      <c r="B204" s="8">
        <v>1123.75549871466</v>
      </c>
      <c r="C204" s="12">
        <v>307.35503675428299</v>
      </c>
      <c r="D204" s="8">
        <v>1.87035014267582</v>
      </c>
      <c r="E204" s="12">
        <v>2.9844494670461198E-3</v>
      </c>
      <c r="F204" s="8" t="s">
        <v>4980</v>
      </c>
      <c r="G204" s="12" t="s">
        <v>865</v>
      </c>
      <c r="H204" s="12">
        <v>1</v>
      </c>
      <c r="I204" s="13" t="str">
        <f>HYPERLINK("http://www.ncbi.nlm.nih.gov/gene/4297", "4297")</f>
        <v>4297</v>
      </c>
      <c r="J204" s="12" t="s">
        <v>15629</v>
      </c>
      <c r="K204" s="12" t="s">
        <v>15630</v>
      </c>
      <c r="L204" s="13" t="str">
        <f>HYPERLINK("http://asia.ensembl.org/Homo_sapiens/Gene/Summary?g=ENSG00000118058", "ENSG00000118058")</f>
        <v>ENSG00000118058</v>
      </c>
      <c r="M204" s="12" t="s">
        <v>15631</v>
      </c>
      <c r="N204" s="12" t="s">
        <v>15632</v>
      </c>
    </row>
    <row r="205" spans="1:14">
      <c r="A205" s="12" t="s">
        <v>10367</v>
      </c>
      <c r="B205" s="8">
        <v>602.55320501247104</v>
      </c>
      <c r="C205" s="12">
        <v>164.88007030543901</v>
      </c>
      <c r="D205" s="8">
        <v>1.8696716107362701</v>
      </c>
      <c r="E205" s="12">
        <v>1.04224273705963E-3</v>
      </c>
      <c r="F205" s="8" t="s">
        <v>10368</v>
      </c>
      <c r="G205" s="12" t="s">
        <v>10369</v>
      </c>
      <c r="H205" s="12">
        <v>1</v>
      </c>
      <c r="I205" s="13" t="str">
        <f>HYPERLINK("http://www.ncbi.nlm.nih.gov/gene/388165", "388165")</f>
        <v>388165</v>
      </c>
      <c r="J205" s="13" t="str">
        <f>HYPERLINK("http://www.ncbi.nlm.nih.gov/nuccore/NR_003661", "NR_003661")</f>
        <v>NR_003661</v>
      </c>
      <c r="K205" s="12" t="s">
        <v>199</v>
      </c>
      <c r="L205" s="13" t="str">
        <f>HYPERLINK("http://asia.ensembl.org/Homo_sapiens/Gene/Summary?g=ENSG00000189136", "ENSG00000189136")</f>
        <v>ENSG00000189136</v>
      </c>
      <c r="M205" s="12" t="s">
        <v>15419</v>
      </c>
    </row>
    <row r="206" spans="1:14">
      <c r="A206" s="12" t="s">
        <v>5341</v>
      </c>
      <c r="B206" s="8">
        <v>3027.2384496496902</v>
      </c>
      <c r="C206" s="12">
        <v>828.49014862093998</v>
      </c>
      <c r="D206" s="8">
        <v>1.86944586998865</v>
      </c>
      <c r="E206" s="12">
        <v>7.3543645572472403E-4</v>
      </c>
      <c r="F206" s="8" t="s">
        <v>5342</v>
      </c>
      <c r="G206" s="12" t="s">
        <v>13690</v>
      </c>
      <c r="H206" s="12">
        <v>1</v>
      </c>
      <c r="I206" s="13" t="str">
        <f>HYPERLINK("http://www.ncbi.nlm.nih.gov/gene/1182", "1182")</f>
        <v>1182</v>
      </c>
      <c r="J206" s="12" t="s">
        <v>13691</v>
      </c>
      <c r="K206" s="12" t="s">
        <v>13692</v>
      </c>
      <c r="L206" s="13" t="str">
        <f>HYPERLINK("http://asia.ensembl.org/Homo_sapiens/Gene/Summary?g=ENSG00000109572", "ENSG00000109572")</f>
        <v>ENSG00000109572</v>
      </c>
      <c r="M206" s="12" t="s">
        <v>13693</v>
      </c>
      <c r="N206" s="12" t="s">
        <v>13694</v>
      </c>
    </row>
    <row r="207" spans="1:14">
      <c r="A207" s="12" t="s">
        <v>8721</v>
      </c>
      <c r="B207" s="8">
        <v>842.98052033175202</v>
      </c>
      <c r="C207" s="12">
        <v>231.66411541358099</v>
      </c>
      <c r="D207" s="8">
        <v>1.86346470442882</v>
      </c>
      <c r="E207" s="12">
        <v>1.7709048141656301E-3</v>
      </c>
      <c r="F207" s="8" t="s">
        <v>8722</v>
      </c>
      <c r="G207" s="12" t="s">
        <v>8723</v>
      </c>
      <c r="H207" s="12">
        <v>1</v>
      </c>
      <c r="I207" s="13" t="str">
        <f>HYPERLINK("http://www.ncbi.nlm.nih.gov/gene/3800", "3800")</f>
        <v>3800</v>
      </c>
      <c r="J207" s="13" t="str">
        <f>HYPERLINK("http://www.ncbi.nlm.nih.gov/nuccore/NM_004522", "NM_004522")</f>
        <v>NM_004522</v>
      </c>
      <c r="K207" s="12" t="s">
        <v>8724</v>
      </c>
      <c r="L207" s="13" t="str">
        <f>HYPERLINK("http://asia.ensembl.org/Homo_sapiens/Gene/Summary?g=ENSG00000168280", "ENSG00000168280")</f>
        <v>ENSG00000168280</v>
      </c>
      <c r="M207" s="12" t="s">
        <v>14837</v>
      </c>
      <c r="N207" s="12" t="s">
        <v>14838</v>
      </c>
    </row>
    <row r="208" spans="1:14">
      <c r="A208" s="12" t="s">
        <v>115</v>
      </c>
      <c r="B208" s="8">
        <v>6221.3972445071604</v>
      </c>
      <c r="C208" s="12">
        <v>1714.5708606005401</v>
      </c>
      <c r="D208" s="8">
        <v>1.8593910973027299</v>
      </c>
      <c r="E208" s="12">
        <v>2.1030049449566801E-3</v>
      </c>
      <c r="F208" s="8" t="s">
        <v>116</v>
      </c>
      <c r="G208" s="12" t="s">
        <v>117</v>
      </c>
      <c r="H208" s="12">
        <v>1</v>
      </c>
      <c r="I208" s="13" t="str">
        <f>HYPERLINK("http://www.ncbi.nlm.nih.gov/gene/9984", "9984")</f>
        <v>9984</v>
      </c>
      <c r="J208" s="13" t="str">
        <f>HYPERLINK("http://www.ncbi.nlm.nih.gov/nuccore/NM_005131", "NM_005131")</f>
        <v>NM_005131</v>
      </c>
      <c r="K208" s="12" t="s">
        <v>118</v>
      </c>
      <c r="L208" s="13" t="str">
        <f>HYPERLINK("http://asia.ensembl.org/Homo_sapiens/Gene/Summary?g=ENSG00000079134", "ENSG00000079134")</f>
        <v>ENSG00000079134</v>
      </c>
      <c r="M208" s="12" t="s">
        <v>11866</v>
      </c>
      <c r="N208" s="12" t="s">
        <v>11867</v>
      </c>
    </row>
    <row r="209" spans="1:14">
      <c r="A209" s="12" t="s">
        <v>9780</v>
      </c>
      <c r="B209" s="8">
        <v>571.80760795410094</v>
      </c>
      <c r="C209" s="12">
        <v>157.644139993843</v>
      </c>
      <c r="D209" s="8">
        <v>1.85885827266474</v>
      </c>
      <c r="E209" s="12">
        <v>3.3917717970943098E-3</v>
      </c>
      <c r="F209" s="8" t="s">
        <v>9781</v>
      </c>
      <c r="G209" s="12" t="s">
        <v>15180</v>
      </c>
      <c r="H209" s="12">
        <v>1</v>
      </c>
      <c r="I209" s="13" t="str">
        <f>HYPERLINK("http://www.ncbi.nlm.nih.gov/gene/642280", "642280")</f>
        <v>642280</v>
      </c>
      <c r="J209" s="13" t="str">
        <f>HYPERLINK("http://www.ncbi.nlm.nih.gov/nuccore/NR_027481", "NR_027481")</f>
        <v>NR_027481</v>
      </c>
      <c r="K209" s="12" t="s">
        <v>199</v>
      </c>
      <c r="L209" s="13" t="str">
        <f>HYPERLINK("http://asia.ensembl.org/Homo_sapiens/Gene/Summary?g=ENSG00000198155", "ENSG00000198155")</f>
        <v>ENSG00000198155</v>
      </c>
      <c r="M209" s="12" t="s">
        <v>15181</v>
      </c>
    </row>
    <row r="210" spans="1:14">
      <c r="A210" s="12" t="s">
        <v>10538</v>
      </c>
      <c r="B210" s="8">
        <v>206.460662926911</v>
      </c>
      <c r="C210" s="12">
        <v>57.104541417857803</v>
      </c>
      <c r="D210" s="8">
        <v>1.8541895401683699</v>
      </c>
      <c r="E210" s="12">
        <v>3.79399769368036E-3</v>
      </c>
      <c r="F210" s="8" t="s">
        <v>229</v>
      </c>
      <c r="G210" s="12" t="s">
        <v>230</v>
      </c>
      <c r="H210" s="12">
        <v>1</v>
      </c>
      <c r="I210" s="13" t="str">
        <f>HYPERLINK("http://www.ncbi.nlm.nih.gov/gene/8543", "8543")</f>
        <v>8543</v>
      </c>
      <c r="J210" s="13" t="str">
        <f>HYPERLINK("http://www.ncbi.nlm.nih.gov/nuccore/NM_006769", "NM_006769")</f>
        <v>NM_006769</v>
      </c>
      <c r="K210" s="12" t="s">
        <v>231</v>
      </c>
      <c r="L210" s="13" t="str">
        <f>HYPERLINK("http://asia.ensembl.org/Homo_sapiens/Gene/Summary?g=ENSG00000143013", "ENSG00000143013")</f>
        <v>ENSG00000143013</v>
      </c>
      <c r="M210" s="12" t="s">
        <v>11904</v>
      </c>
      <c r="N210" s="12" t="s">
        <v>11905</v>
      </c>
    </row>
    <row r="211" spans="1:14">
      <c r="A211" s="12" t="s">
        <v>7983</v>
      </c>
      <c r="B211" s="8">
        <v>1849.9270062803801</v>
      </c>
      <c r="C211" s="12">
        <v>511.89984730498497</v>
      </c>
      <c r="D211" s="8">
        <v>1.85353486545042</v>
      </c>
      <c r="E211" s="12">
        <v>2.8232467881859299E-3</v>
      </c>
      <c r="F211" s="8" t="s">
        <v>7984</v>
      </c>
      <c r="G211" s="12" t="s">
        <v>14631</v>
      </c>
      <c r="H211" s="12">
        <v>1</v>
      </c>
      <c r="I211" s="13" t="str">
        <f>HYPERLINK("http://www.ncbi.nlm.nih.gov/gene/10447", "10447")</f>
        <v>10447</v>
      </c>
      <c r="J211" s="12" t="s">
        <v>14632</v>
      </c>
      <c r="K211" s="12" t="s">
        <v>14633</v>
      </c>
      <c r="L211" s="13" t="str">
        <f>HYPERLINK("http://asia.ensembl.org/Homo_sapiens/Gene/Summary?g=ENSG00000196937", "ENSG00000196937")</f>
        <v>ENSG00000196937</v>
      </c>
      <c r="M211" s="12" t="s">
        <v>14634</v>
      </c>
      <c r="N211" s="12" t="s">
        <v>14635</v>
      </c>
    </row>
    <row r="212" spans="1:14">
      <c r="A212" s="12" t="s">
        <v>9524</v>
      </c>
      <c r="B212" s="8">
        <v>935.16968061426996</v>
      </c>
      <c r="C212" s="12">
        <v>258.84618139968399</v>
      </c>
      <c r="D212" s="8">
        <v>1.8531331214737801</v>
      </c>
      <c r="E212" s="12">
        <v>5.5821478300562399E-3</v>
      </c>
      <c r="F212" s="8" t="s">
        <v>9525</v>
      </c>
      <c r="G212" s="12" t="s">
        <v>9526</v>
      </c>
      <c r="H212" s="12">
        <v>1</v>
      </c>
      <c r="I212" s="13" t="str">
        <f>HYPERLINK("http://www.ncbi.nlm.nih.gov/gene/10561", "10561")</f>
        <v>10561</v>
      </c>
      <c r="J212" s="13" t="str">
        <f>HYPERLINK("http://www.ncbi.nlm.nih.gov/nuccore/NM_006417", "NM_006417")</f>
        <v>NM_006417</v>
      </c>
      <c r="K212" s="12" t="s">
        <v>9527</v>
      </c>
      <c r="L212" s="13" t="str">
        <f>HYPERLINK("http://asia.ensembl.org/Homo_sapiens/Gene/Summary?g=ENSG00000137965", "ENSG00000137965")</f>
        <v>ENSG00000137965</v>
      </c>
      <c r="M212" s="12" t="s">
        <v>15064</v>
      </c>
      <c r="N212" s="12" t="s">
        <v>15065</v>
      </c>
    </row>
    <row r="213" spans="1:14">
      <c r="A213" s="12" t="s">
        <v>11264</v>
      </c>
      <c r="B213" s="8">
        <v>436.924397796422</v>
      </c>
      <c r="C213" s="12">
        <v>120.99152641540201</v>
      </c>
      <c r="D213" s="8">
        <v>1.8524776553482301</v>
      </c>
      <c r="E213" s="12">
        <v>1.18495478390622E-2</v>
      </c>
      <c r="F213" s="8" t="s">
        <v>38</v>
      </c>
      <c r="G213" s="12" t="s">
        <v>38</v>
      </c>
      <c r="H213" s="12">
        <v>1</v>
      </c>
      <c r="I213" s="12" t="s">
        <v>38</v>
      </c>
      <c r="J213" s="12" t="s">
        <v>38</v>
      </c>
      <c r="K213" s="12" t="s">
        <v>38</v>
      </c>
      <c r="L213" s="13" t="str">
        <f>HYPERLINK("http://asia.ensembl.org/Homo_sapiens/Gene/Summary?g=ENSG00000114405", "ENSG00000114405")</f>
        <v>ENSG00000114405</v>
      </c>
      <c r="M213" s="12" t="s">
        <v>11265</v>
      </c>
      <c r="N213" s="12" t="s">
        <v>16074</v>
      </c>
    </row>
    <row r="214" spans="1:14">
      <c r="A214" s="12" t="s">
        <v>1989</v>
      </c>
      <c r="B214" s="8">
        <v>6598.4546964473602</v>
      </c>
      <c r="C214" s="12">
        <v>1831.2644491456799</v>
      </c>
      <c r="D214" s="8">
        <v>1.8492880539600101</v>
      </c>
      <c r="E214" s="12">
        <v>3.1570076683268698E-3</v>
      </c>
      <c r="F214" s="8" t="s">
        <v>1990</v>
      </c>
      <c r="G214" s="12" t="s">
        <v>1991</v>
      </c>
      <c r="H214" s="12">
        <v>1</v>
      </c>
      <c r="I214" s="13" t="str">
        <f>HYPERLINK("http://www.ncbi.nlm.nih.gov/gene/8036", "8036")</f>
        <v>8036</v>
      </c>
      <c r="J214" s="12" t="s">
        <v>12506</v>
      </c>
      <c r="K214" s="12" t="s">
        <v>12507</v>
      </c>
      <c r="L214" s="13" t="str">
        <f>HYPERLINK("http://asia.ensembl.org/Homo_sapiens/Gene/Summary?g=ENSG00000108061", "ENSG00000108061")</f>
        <v>ENSG00000108061</v>
      </c>
      <c r="M214" s="12" t="s">
        <v>12508</v>
      </c>
      <c r="N214" s="12" t="s">
        <v>12509</v>
      </c>
    </row>
    <row r="215" spans="1:14">
      <c r="A215" s="12" t="s">
        <v>11233</v>
      </c>
      <c r="B215" s="8">
        <v>2573.1722192787502</v>
      </c>
      <c r="C215" s="12">
        <v>714.62956347665295</v>
      </c>
      <c r="D215" s="8">
        <v>1.8482805150695201</v>
      </c>
      <c r="E215" s="12">
        <v>5.2460505307364003E-4</v>
      </c>
      <c r="F215" s="8" t="s">
        <v>38</v>
      </c>
      <c r="G215" s="12" t="s">
        <v>38</v>
      </c>
      <c r="H215" s="12">
        <v>1</v>
      </c>
      <c r="I215" s="12" t="s">
        <v>38</v>
      </c>
      <c r="J215" s="12" t="s">
        <v>38</v>
      </c>
      <c r="K215" s="12" t="s">
        <v>38</v>
      </c>
      <c r="L215" s="13" t="str">
        <f>HYPERLINK("http://asia.ensembl.org/Homo_sapiens/Gene/Summary?g=ENSG00000197312", "ENSG00000197312")</f>
        <v>ENSG00000197312</v>
      </c>
      <c r="M215" s="12" t="s">
        <v>11234</v>
      </c>
      <c r="N215" s="12" t="s">
        <v>16051</v>
      </c>
    </row>
    <row r="216" spans="1:14">
      <c r="A216" s="12" t="s">
        <v>5813</v>
      </c>
      <c r="B216" s="8">
        <v>965.27133041030004</v>
      </c>
      <c r="C216" s="12">
        <v>268.979911043291</v>
      </c>
      <c r="D216" s="8">
        <v>1.8434361018657699</v>
      </c>
      <c r="E216" s="12">
        <v>2.9693428100169002E-3</v>
      </c>
      <c r="F216" s="8" t="s">
        <v>5814</v>
      </c>
      <c r="G216" s="12" t="s">
        <v>5815</v>
      </c>
      <c r="H216" s="12">
        <v>1</v>
      </c>
      <c r="I216" s="13" t="str">
        <f>HYPERLINK("http://www.ncbi.nlm.nih.gov/gene/63934", "63934")</f>
        <v>63934</v>
      </c>
      <c r="J216" s="12" t="s">
        <v>13919</v>
      </c>
      <c r="K216" s="12" t="s">
        <v>13920</v>
      </c>
      <c r="L216" s="13" t="str">
        <f>HYPERLINK("http://asia.ensembl.org/Homo_sapiens/Gene/Summary?g=ENSG00000198046", "ENSG00000198046")</f>
        <v>ENSG00000198046</v>
      </c>
      <c r="M216" s="12" t="s">
        <v>13921</v>
      </c>
      <c r="N216" s="12" t="s">
        <v>13922</v>
      </c>
    </row>
    <row r="217" spans="1:14">
      <c r="A217" s="12" t="s">
        <v>8773</v>
      </c>
      <c r="B217" s="8">
        <v>1393.75664410024</v>
      </c>
      <c r="C217" s="12">
        <v>388.83398120878502</v>
      </c>
      <c r="D217" s="8">
        <v>1.84175247201865</v>
      </c>
      <c r="E217" s="12">
        <v>4.3760726495540599E-4</v>
      </c>
      <c r="F217" s="8" t="s">
        <v>8774</v>
      </c>
      <c r="G217" s="12" t="s">
        <v>8775</v>
      </c>
      <c r="H217" s="12">
        <v>1</v>
      </c>
      <c r="I217" s="13" t="str">
        <f>HYPERLINK("http://www.ncbi.nlm.nih.gov/gene/81856", "81856")</f>
        <v>81856</v>
      </c>
      <c r="J217" s="12" t="s">
        <v>14867</v>
      </c>
      <c r="K217" s="12" t="s">
        <v>14868</v>
      </c>
      <c r="L217" s="13" t="str">
        <f>HYPERLINK("http://asia.ensembl.org/Homo_sapiens/Gene/Summary?g=ENSG00000213020", "ENSG00000213020")</f>
        <v>ENSG00000213020</v>
      </c>
      <c r="M217" s="12" t="s">
        <v>14869</v>
      </c>
      <c r="N217" s="12" t="s">
        <v>14870</v>
      </c>
    </row>
    <row r="218" spans="1:14">
      <c r="A218" s="12" t="s">
        <v>563</v>
      </c>
      <c r="B218" s="8">
        <v>782.48755084403103</v>
      </c>
      <c r="C218" s="12">
        <v>218.502557387179</v>
      </c>
      <c r="D218" s="8">
        <v>1.8404176340101699</v>
      </c>
      <c r="E218" s="12">
        <v>2.0310580502446501E-3</v>
      </c>
      <c r="F218" s="8" t="s">
        <v>564</v>
      </c>
      <c r="G218" s="12" t="s">
        <v>565</v>
      </c>
      <c r="H218" s="12">
        <v>1</v>
      </c>
      <c r="I218" s="13" t="str">
        <f>HYPERLINK("http://www.ncbi.nlm.nih.gov/gene/11001", "11001")</f>
        <v>11001</v>
      </c>
      <c r="J218" s="12" t="s">
        <v>12022</v>
      </c>
      <c r="K218" s="12" t="s">
        <v>12023</v>
      </c>
      <c r="L218" s="13" t="str">
        <f>HYPERLINK("http://asia.ensembl.org/Homo_sapiens/Gene/Summary?g=ENSG00000140284", "ENSG00000140284")</f>
        <v>ENSG00000140284</v>
      </c>
      <c r="M218" s="12" t="s">
        <v>12024</v>
      </c>
      <c r="N218" s="12" t="s">
        <v>12025</v>
      </c>
    </row>
    <row r="219" spans="1:14">
      <c r="A219" s="12" t="s">
        <v>6262</v>
      </c>
      <c r="B219" s="8">
        <v>5704.2493967741802</v>
      </c>
      <c r="C219" s="12">
        <v>1593.95100699211</v>
      </c>
      <c r="D219" s="8">
        <v>1.8394297734244101</v>
      </c>
      <c r="E219" s="12">
        <v>6.1902890859329802E-3</v>
      </c>
      <c r="F219" s="8" t="s">
        <v>6263</v>
      </c>
      <c r="G219" s="12" t="s">
        <v>6264</v>
      </c>
      <c r="H219" s="12">
        <v>1</v>
      </c>
      <c r="I219" s="13" t="str">
        <f>HYPERLINK("http://www.ncbi.nlm.nih.gov/gene/55832", "55832")</f>
        <v>55832</v>
      </c>
      <c r="J219" s="13" t="str">
        <f>HYPERLINK("http://www.ncbi.nlm.nih.gov/nuccore/NM_018448", "NM_018448")</f>
        <v>NM_018448</v>
      </c>
      <c r="K219" s="12" t="s">
        <v>6265</v>
      </c>
      <c r="L219" s="13" t="str">
        <f>HYPERLINK("http://asia.ensembl.org/Homo_sapiens/Gene/Summary?g=ENSG00000111530", "ENSG00000111530")</f>
        <v>ENSG00000111530</v>
      </c>
      <c r="M219" s="12" t="s">
        <v>14108</v>
      </c>
      <c r="N219" s="12" t="s">
        <v>14109</v>
      </c>
    </row>
    <row r="220" spans="1:14">
      <c r="A220" s="12" t="s">
        <v>9939</v>
      </c>
      <c r="B220" s="8">
        <v>1546.15851991145</v>
      </c>
      <c r="C220" s="12">
        <v>433.02161648648303</v>
      </c>
      <c r="D220" s="8">
        <v>1.83617728780665</v>
      </c>
      <c r="E220" s="12">
        <v>6.6449201180828805E-5</v>
      </c>
      <c r="F220" s="8" t="s">
        <v>8807</v>
      </c>
      <c r="G220" s="12" t="s">
        <v>8808</v>
      </c>
      <c r="H220" s="12">
        <v>1</v>
      </c>
      <c r="I220" s="13" t="str">
        <f>HYPERLINK("http://www.ncbi.nlm.nih.gov/gene/158158", "158158")</f>
        <v>158158</v>
      </c>
      <c r="J220" s="13" t="str">
        <f>HYPERLINK("http://www.ncbi.nlm.nih.gov/nuccore/NM_152573", "NM_152573")</f>
        <v>NM_152573</v>
      </c>
      <c r="K220" s="12" t="s">
        <v>8809</v>
      </c>
      <c r="L220" s="13" t="str">
        <f>HYPERLINK("http://asia.ensembl.org/Homo_sapiens/Gene/Summary?g=ENSG00000165105", "ENSG00000165105")</f>
        <v>ENSG00000165105</v>
      </c>
      <c r="M220" s="12" t="s">
        <v>14899</v>
      </c>
      <c r="N220" s="12" t="s">
        <v>14900</v>
      </c>
    </row>
    <row r="221" spans="1:14">
      <c r="A221" s="12" t="s">
        <v>7068</v>
      </c>
      <c r="B221" s="8">
        <v>2130.2900844924602</v>
      </c>
      <c r="C221" s="12">
        <v>597.35274958951697</v>
      </c>
      <c r="D221" s="8">
        <v>1.8343948670096499</v>
      </c>
      <c r="E221" s="12">
        <v>2.29615395920455E-3</v>
      </c>
      <c r="F221" s="8" t="s">
        <v>239</v>
      </c>
      <c r="G221" s="12" t="s">
        <v>240</v>
      </c>
      <c r="H221" s="12">
        <v>1</v>
      </c>
      <c r="I221" s="13" t="str">
        <f>HYPERLINK("http://www.ncbi.nlm.nih.gov/gene/1316", "1316")</f>
        <v>1316</v>
      </c>
      <c r="J221" s="12" t="s">
        <v>11913</v>
      </c>
      <c r="K221" s="12" t="s">
        <v>11914</v>
      </c>
      <c r="L221" s="13" t="str">
        <f>HYPERLINK("http://asia.ensembl.org/Homo_sapiens/Gene/Summary?g=ENSG00000067082", "ENSG00000067082")</f>
        <v>ENSG00000067082</v>
      </c>
      <c r="M221" s="12" t="s">
        <v>11915</v>
      </c>
      <c r="N221" s="12" t="s">
        <v>11916</v>
      </c>
    </row>
    <row r="222" spans="1:14">
      <c r="A222" s="12" t="s">
        <v>8854</v>
      </c>
      <c r="B222" s="8">
        <v>1131.87162443854</v>
      </c>
      <c r="C222" s="12">
        <v>317.52756351356197</v>
      </c>
      <c r="D222" s="8">
        <v>1.8337566006570301</v>
      </c>
      <c r="E222" s="12">
        <v>5.78671744693847E-3</v>
      </c>
      <c r="F222" s="8" t="s">
        <v>8855</v>
      </c>
      <c r="G222" s="12" t="s">
        <v>14930</v>
      </c>
      <c r="H222" s="12">
        <v>1</v>
      </c>
      <c r="I222" s="13" t="str">
        <f>HYPERLINK("http://www.ncbi.nlm.nih.gov/gene/64786", "64786")</f>
        <v>64786</v>
      </c>
      <c r="J222" s="12" t="s">
        <v>14931</v>
      </c>
      <c r="K222" s="12" t="s">
        <v>14932</v>
      </c>
      <c r="L222" s="13" t="str">
        <f>HYPERLINK("http://asia.ensembl.org/Homo_sapiens/Gene/Summary?g=ENSG00000121749", "ENSG00000121749")</f>
        <v>ENSG00000121749</v>
      </c>
      <c r="M222" s="12" t="s">
        <v>14933</v>
      </c>
      <c r="N222" s="12" t="s">
        <v>14934</v>
      </c>
    </row>
    <row r="223" spans="1:14">
      <c r="A223" s="12" t="s">
        <v>8566</v>
      </c>
      <c r="B223" s="8">
        <v>294.83228397046298</v>
      </c>
      <c r="C223" s="12">
        <v>82.792600816635499</v>
      </c>
      <c r="D223" s="8">
        <v>1.83232076259192</v>
      </c>
      <c r="E223" s="12">
        <v>2.31495535156749E-3</v>
      </c>
      <c r="F223" s="8" t="s">
        <v>5914</v>
      </c>
      <c r="G223" s="12" t="s">
        <v>5915</v>
      </c>
      <c r="H223" s="12">
        <v>1</v>
      </c>
      <c r="I223" s="13" t="str">
        <f>HYPERLINK("http://www.ncbi.nlm.nih.gov/gene/25945", "25945")</f>
        <v>25945</v>
      </c>
      <c r="J223" s="12" t="s">
        <v>14776</v>
      </c>
      <c r="K223" s="12" t="s">
        <v>14777</v>
      </c>
      <c r="L223" s="13" t="str">
        <f>HYPERLINK("http://asia.ensembl.org/Homo_sapiens/Gene/Summary?g=ENSG00000177707", "ENSG00000177707")</f>
        <v>ENSG00000177707</v>
      </c>
      <c r="M223" s="12" t="s">
        <v>14778</v>
      </c>
      <c r="N223" s="12" t="s">
        <v>14779</v>
      </c>
    </row>
    <row r="224" spans="1:14">
      <c r="A224" s="12" t="s">
        <v>11150</v>
      </c>
      <c r="B224" s="8">
        <v>11767.176548367101</v>
      </c>
      <c r="C224" s="12">
        <v>3306.0006117405401</v>
      </c>
      <c r="D224" s="8">
        <v>1.83160930062619</v>
      </c>
      <c r="E224" s="12">
        <v>1.2359141143996901E-3</v>
      </c>
      <c r="F224" s="8" t="s">
        <v>38</v>
      </c>
      <c r="G224" s="12" t="s">
        <v>38</v>
      </c>
      <c r="H224" s="12">
        <v>1</v>
      </c>
      <c r="I224" s="12" t="s">
        <v>38</v>
      </c>
      <c r="J224" s="12" t="s">
        <v>38</v>
      </c>
      <c r="K224" s="12" t="s">
        <v>38</v>
      </c>
      <c r="L224" s="13" t="str">
        <f>HYPERLINK("http://asia.ensembl.org/Homo_sapiens/Gene/Summary?g=ENSG00000164211", "ENSG00000164211")</f>
        <v>ENSG00000164211</v>
      </c>
      <c r="M224" s="12" t="s">
        <v>11151</v>
      </c>
      <c r="N224" s="12" t="s">
        <v>12451</v>
      </c>
    </row>
    <row r="225" spans="1:14">
      <c r="A225" s="12" t="s">
        <v>7321</v>
      </c>
      <c r="B225" s="8">
        <v>186.49249897965001</v>
      </c>
      <c r="C225" s="12">
        <v>52.528538145382697</v>
      </c>
      <c r="D225" s="8">
        <v>1.82794426383179</v>
      </c>
      <c r="E225" s="12">
        <v>3.3964326668919502E-4</v>
      </c>
      <c r="F225" s="8" t="s">
        <v>7322</v>
      </c>
      <c r="G225" s="12" t="s">
        <v>7323</v>
      </c>
      <c r="H225" s="12">
        <v>1</v>
      </c>
      <c r="I225" s="13" t="str">
        <f>HYPERLINK("http://www.ncbi.nlm.nih.gov/gene/7695", "7695")</f>
        <v>7695</v>
      </c>
      <c r="J225" s="13" t="str">
        <f>HYPERLINK("http://www.ncbi.nlm.nih.gov/nuccore/NM_003437", "NM_003437")</f>
        <v>NM_003437</v>
      </c>
      <c r="K225" s="12" t="s">
        <v>7324</v>
      </c>
      <c r="L225" s="13" t="str">
        <f>HYPERLINK("http://asia.ensembl.org/Homo_sapiens/Gene/Summary?g=ENSG00000196646", "ENSG00000196646")</f>
        <v>ENSG00000196646</v>
      </c>
      <c r="M225" s="12" t="s">
        <v>14397</v>
      </c>
      <c r="N225" s="12" t="s">
        <v>14398</v>
      </c>
    </row>
    <row r="226" spans="1:14">
      <c r="A226" s="12" t="s">
        <v>11428</v>
      </c>
      <c r="B226" s="8">
        <v>1203.80390456798</v>
      </c>
      <c r="C226" s="12">
        <v>339.10459864748202</v>
      </c>
      <c r="D226" s="8">
        <v>1.8277981470679101</v>
      </c>
      <c r="E226" s="12">
        <v>1.88849016000937E-3</v>
      </c>
      <c r="F226" s="8" t="s">
        <v>11429</v>
      </c>
      <c r="G226" s="12" t="s">
        <v>16133</v>
      </c>
      <c r="H226" s="12">
        <v>4</v>
      </c>
      <c r="I226" s="12" t="s">
        <v>11430</v>
      </c>
      <c r="J226" s="12" t="s">
        <v>11431</v>
      </c>
      <c r="K226" s="12" t="s">
        <v>11432</v>
      </c>
      <c r="L226" s="12" t="s">
        <v>11433</v>
      </c>
      <c r="M226" s="12" t="s">
        <v>16134</v>
      </c>
      <c r="N226" s="12" t="s">
        <v>16135</v>
      </c>
    </row>
    <row r="227" spans="1:14">
      <c r="A227" s="12" t="s">
        <v>9973</v>
      </c>
      <c r="B227" s="8">
        <v>2087.8518967156201</v>
      </c>
      <c r="C227" s="12">
        <v>588.34443440932102</v>
      </c>
      <c r="D227" s="8">
        <v>1.82728647264528</v>
      </c>
      <c r="E227" s="12">
        <v>4.8543282107648398E-5</v>
      </c>
      <c r="F227" s="8" t="s">
        <v>7783</v>
      </c>
      <c r="G227" s="12" t="s">
        <v>7784</v>
      </c>
      <c r="H227" s="12">
        <v>1</v>
      </c>
      <c r="I227" s="13" t="str">
        <f>HYPERLINK("http://www.ncbi.nlm.nih.gov/gene/51808", "51808")</f>
        <v>51808</v>
      </c>
      <c r="J227" s="13" t="str">
        <f>HYPERLINK("http://www.ncbi.nlm.nih.gov/nuccore/NM_032177", "NM_032177")</f>
        <v>NM_032177</v>
      </c>
      <c r="K227" s="12" t="s">
        <v>7785</v>
      </c>
      <c r="L227" s="13" t="str">
        <f>HYPERLINK("http://asia.ensembl.org/Homo_sapiens/Gene/Summary?g=ENSG00000164902", "ENSG00000164902")</f>
        <v>ENSG00000164902</v>
      </c>
      <c r="M227" s="12" t="s">
        <v>15265</v>
      </c>
      <c r="N227" s="12" t="s">
        <v>7786</v>
      </c>
    </row>
    <row r="228" spans="1:14">
      <c r="A228" s="12" t="s">
        <v>10283</v>
      </c>
      <c r="B228" s="8">
        <v>1218.7284905480899</v>
      </c>
      <c r="C228" s="12">
        <v>343.53870456219897</v>
      </c>
      <c r="D228" s="8">
        <v>1.8268322032277999</v>
      </c>
      <c r="E228" s="12">
        <v>2.46071040983319E-3</v>
      </c>
      <c r="F228" s="8" t="s">
        <v>10284</v>
      </c>
      <c r="G228" s="12" t="s">
        <v>10285</v>
      </c>
      <c r="H228" s="12">
        <v>1</v>
      </c>
      <c r="I228" s="13" t="str">
        <f>HYPERLINK("http://www.ncbi.nlm.nih.gov/gene/8323", "8323")</f>
        <v>8323</v>
      </c>
      <c r="J228" s="12" t="s">
        <v>15361</v>
      </c>
      <c r="K228" s="12" t="s">
        <v>15362</v>
      </c>
      <c r="L228" s="13" t="str">
        <f>HYPERLINK("http://asia.ensembl.org/Homo_sapiens/Gene/Summary?g=ENSG00000164930", "ENSG00000164930")</f>
        <v>ENSG00000164930</v>
      </c>
      <c r="M228" s="12" t="s">
        <v>15363</v>
      </c>
      <c r="N228" s="12" t="s">
        <v>15364</v>
      </c>
    </row>
    <row r="229" spans="1:14">
      <c r="A229" s="12" t="s">
        <v>10689</v>
      </c>
      <c r="B229" s="8">
        <v>13951.0209548316</v>
      </c>
      <c r="C229" s="12">
        <v>3932.7401618853401</v>
      </c>
      <c r="D229" s="8">
        <v>1.82676392936055</v>
      </c>
      <c r="E229" s="12">
        <v>1.3523081100133599E-3</v>
      </c>
      <c r="F229" s="8" t="s">
        <v>3430</v>
      </c>
      <c r="G229" s="12" t="s">
        <v>3431</v>
      </c>
      <c r="H229" s="12">
        <v>1</v>
      </c>
      <c r="I229" s="13" t="str">
        <f>HYPERLINK("http://www.ncbi.nlm.nih.gov/gene/1946", "1946")</f>
        <v>1946</v>
      </c>
      <c r="J229" s="13" t="str">
        <f>HYPERLINK("http://www.ncbi.nlm.nih.gov/nuccore/NM_001962", "NM_001962")</f>
        <v>NM_001962</v>
      </c>
      <c r="K229" s="12" t="s">
        <v>3432</v>
      </c>
      <c r="L229" s="13" t="str">
        <f>HYPERLINK("http://asia.ensembl.org/Homo_sapiens/Gene/Summary?g=ENSG00000184349", "ENSG00000184349")</f>
        <v>ENSG00000184349</v>
      </c>
      <c r="M229" s="12" t="s">
        <v>12978</v>
      </c>
      <c r="N229" s="12" t="s">
        <v>12979</v>
      </c>
    </row>
    <row r="230" spans="1:14">
      <c r="A230" s="12" t="s">
        <v>10825</v>
      </c>
      <c r="B230" s="8">
        <v>10694.0169552605</v>
      </c>
      <c r="C230" s="12">
        <v>3017.2345512843199</v>
      </c>
      <c r="D230" s="8">
        <v>1.8255051122393999</v>
      </c>
      <c r="E230" s="12">
        <v>1.81291134443354E-3</v>
      </c>
      <c r="F230" s="8" t="s">
        <v>703</v>
      </c>
      <c r="G230" s="12" t="s">
        <v>12078</v>
      </c>
      <c r="H230" s="12">
        <v>1</v>
      </c>
      <c r="I230" s="13" t="str">
        <f>HYPERLINK("http://www.ncbi.nlm.nih.gov/gene/55773", "55773")</f>
        <v>55773</v>
      </c>
      <c r="J230" s="12" t="s">
        <v>12079</v>
      </c>
      <c r="K230" s="12" t="s">
        <v>12080</v>
      </c>
      <c r="L230" s="13" t="str">
        <f>HYPERLINK("http://asia.ensembl.org/Homo_sapiens/Gene/Summary?g=ENSG00000036054", "ENSG00000036054")</f>
        <v>ENSG00000036054</v>
      </c>
      <c r="M230" s="12" t="s">
        <v>12081</v>
      </c>
      <c r="N230" s="12" t="s">
        <v>12082</v>
      </c>
    </row>
    <row r="231" spans="1:14">
      <c r="A231" s="12" t="s">
        <v>4399</v>
      </c>
      <c r="B231" s="8">
        <v>19334.225057040901</v>
      </c>
      <c r="C231" s="12">
        <v>5459.3921472600596</v>
      </c>
      <c r="D231" s="8">
        <v>1.8243447058595199</v>
      </c>
      <c r="E231" s="12">
        <v>7.3865450829294103E-3</v>
      </c>
      <c r="F231" s="8" t="s">
        <v>4400</v>
      </c>
      <c r="G231" s="12" t="s">
        <v>4401</v>
      </c>
      <c r="H231" s="12">
        <v>1</v>
      </c>
      <c r="I231" s="13" t="str">
        <f>HYPERLINK("http://www.ncbi.nlm.nih.gov/gene/22836", "22836")</f>
        <v>22836</v>
      </c>
      <c r="J231" s="13" t="str">
        <f>HYPERLINK("http://www.ncbi.nlm.nih.gov/nuccore/NM_014899", "NM_014899")</f>
        <v>NM_014899</v>
      </c>
      <c r="K231" s="12" t="s">
        <v>4402</v>
      </c>
      <c r="L231" s="13" t="str">
        <f>HYPERLINK("http://asia.ensembl.org/Homo_sapiens/Gene/Summary?g=ENSG00000164292", "ENSG00000164292")</f>
        <v>ENSG00000164292</v>
      </c>
      <c r="M231" s="12" t="s">
        <v>13225</v>
      </c>
      <c r="N231" s="12" t="s">
        <v>13226</v>
      </c>
    </row>
    <row r="232" spans="1:14">
      <c r="A232" s="12" t="s">
        <v>6464</v>
      </c>
      <c r="B232" s="8">
        <v>443.07640449317103</v>
      </c>
      <c r="C232" s="12">
        <v>125.577680737289</v>
      </c>
      <c r="D232" s="8">
        <v>1.8189754269610201</v>
      </c>
      <c r="E232" s="12">
        <v>4.0323023544306201E-5</v>
      </c>
      <c r="F232" s="8" t="s">
        <v>6465</v>
      </c>
      <c r="G232" s="12" t="s">
        <v>14195</v>
      </c>
      <c r="H232" s="12">
        <v>1</v>
      </c>
      <c r="I232" s="13" t="str">
        <f>HYPERLINK("http://www.ncbi.nlm.nih.gov/gene/3428", "3428")</f>
        <v>3428</v>
      </c>
      <c r="J232" s="12" t="s">
        <v>14196</v>
      </c>
      <c r="K232" s="12" t="s">
        <v>14197</v>
      </c>
      <c r="L232" s="13" t="str">
        <f>HYPERLINK("http://asia.ensembl.org/Homo_sapiens/Gene/Summary?g=ENSG00000163565", "ENSG00000163565")</f>
        <v>ENSG00000163565</v>
      </c>
      <c r="M232" s="12" t="s">
        <v>14198</v>
      </c>
      <c r="N232" s="12" t="s">
        <v>14199</v>
      </c>
    </row>
    <row r="233" spans="1:14">
      <c r="A233" s="12" t="s">
        <v>7672</v>
      </c>
      <c r="B233" s="8">
        <v>354.80106906443302</v>
      </c>
      <c r="C233" s="12">
        <v>100.56523268289401</v>
      </c>
      <c r="D233" s="8">
        <v>1.81887873250864</v>
      </c>
      <c r="E233" s="12">
        <v>6.8304122785541304E-3</v>
      </c>
      <c r="F233" s="8" t="s">
        <v>7673</v>
      </c>
      <c r="G233" s="12" t="s">
        <v>14511</v>
      </c>
      <c r="H233" s="12">
        <v>4</v>
      </c>
      <c r="I233" s="12" t="s">
        <v>7674</v>
      </c>
      <c r="J233" s="12" t="s">
        <v>7675</v>
      </c>
      <c r="K233" s="12" t="s">
        <v>6413</v>
      </c>
    </row>
    <row r="234" spans="1:14">
      <c r="A234" s="12" t="s">
        <v>6930</v>
      </c>
      <c r="B234" s="8">
        <v>322.93591980320502</v>
      </c>
      <c r="C234" s="12">
        <v>91.545021860138505</v>
      </c>
      <c r="D234" s="8">
        <v>1.8186945784939601</v>
      </c>
      <c r="E234" s="12">
        <v>4.0366187771597303E-3</v>
      </c>
      <c r="F234" s="8" t="s">
        <v>6931</v>
      </c>
      <c r="G234" s="12" t="s">
        <v>6932</v>
      </c>
      <c r="H234" s="12">
        <v>1</v>
      </c>
      <c r="I234" s="13" t="str">
        <f>HYPERLINK("http://www.ncbi.nlm.nih.gov/gene/4129", "4129")</f>
        <v>4129</v>
      </c>
      <c r="J234" s="13" t="str">
        <f>HYPERLINK("http://www.ncbi.nlm.nih.gov/nuccore/NM_000898", "NM_000898")</f>
        <v>NM_000898</v>
      </c>
      <c r="K234" s="12" t="s">
        <v>6933</v>
      </c>
      <c r="L234" s="13" t="str">
        <f>HYPERLINK("http://asia.ensembl.org/Homo_sapiens/Gene/Summary?g=ENSG00000069535", "ENSG00000069535")</f>
        <v>ENSG00000069535</v>
      </c>
      <c r="M234" s="12" t="s">
        <v>14313</v>
      </c>
      <c r="N234" s="12" t="s">
        <v>6934</v>
      </c>
    </row>
    <row r="235" spans="1:14">
      <c r="A235" s="12" t="s">
        <v>1036</v>
      </c>
      <c r="B235" s="8">
        <v>1338.70873926019</v>
      </c>
      <c r="C235" s="12">
        <v>380.77731832038302</v>
      </c>
      <c r="D235" s="8">
        <v>1.81382266031177</v>
      </c>
      <c r="E235" s="12">
        <v>1.15879991567949E-2</v>
      </c>
      <c r="F235" s="8" t="s">
        <v>1037</v>
      </c>
      <c r="G235" s="12" t="s">
        <v>12208</v>
      </c>
      <c r="H235" s="12">
        <v>1</v>
      </c>
      <c r="I235" s="13" t="str">
        <f>HYPERLINK("http://www.ncbi.nlm.nih.gov/gene/2967", "2967")</f>
        <v>2967</v>
      </c>
      <c r="J235" s="12" t="s">
        <v>12209</v>
      </c>
      <c r="K235" s="12" t="s">
        <v>12210</v>
      </c>
      <c r="L235" s="13" t="str">
        <f>HYPERLINK("http://asia.ensembl.org/Homo_sapiens/Gene/Summary?g=ENSG00000111358", "ENSG00000111358")</f>
        <v>ENSG00000111358</v>
      </c>
      <c r="M235" s="12" t="s">
        <v>12211</v>
      </c>
      <c r="N235" s="12" t="s">
        <v>12212</v>
      </c>
    </row>
    <row r="236" spans="1:14">
      <c r="A236" s="12" t="s">
        <v>7498</v>
      </c>
      <c r="B236" s="8">
        <v>858.79800894154198</v>
      </c>
      <c r="C236" s="12">
        <v>244.51168004381299</v>
      </c>
      <c r="D236" s="8">
        <v>1.8124154637021901</v>
      </c>
      <c r="E236" s="12">
        <v>1.7798383181130001E-3</v>
      </c>
      <c r="F236" s="8" t="s">
        <v>1809</v>
      </c>
      <c r="G236" s="12" t="s">
        <v>1810</v>
      </c>
      <c r="H236" s="12">
        <v>1</v>
      </c>
      <c r="I236" s="13" t="str">
        <f>HYPERLINK("http://www.ncbi.nlm.nih.gov/gene/5744", "5744")</f>
        <v>5744</v>
      </c>
      <c r="J236" s="12" t="s">
        <v>14446</v>
      </c>
      <c r="K236" s="12" t="s">
        <v>14447</v>
      </c>
      <c r="L236" s="13" t="str">
        <f>HYPERLINK("http://asia.ensembl.org/Homo_sapiens/Gene/Summary?g=ENSG00000087494", "ENSG00000087494")</f>
        <v>ENSG00000087494</v>
      </c>
      <c r="M236" s="12" t="s">
        <v>14448</v>
      </c>
      <c r="N236" s="12" t="s">
        <v>14449</v>
      </c>
    </row>
    <row r="237" spans="1:14">
      <c r="A237" s="12" t="s">
        <v>10755</v>
      </c>
      <c r="B237" s="8">
        <v>1078.43739336779</v>
      </c>
      <c r="C237" s="12">
        <v>307.20490935479302</v>
      </c>
      <c r="D237" s="8">
        <v>1.8116692493545901</v>
      </c>
      <c r="E237" s="12">
        <v>5.7349195460773003E-3</v>
      </c>
      <c r="F237" s="8" t="s">
        <v>4550</v>
      </c>
      <c r="G237" s="12" t="s">
        <v>4551</v>
      </c>
      <c r="H237" s="12">
        <v>1</v>
      </c>
      <c r="I237" s="13" t="str">
        <f>HYPERLINK("http://www.ncbi.nlm.nih.gov/gene/9456", "9456")</f>
        <v>9456</v>
      </c>
      <c r="J237" s="13" t="str">
        <f>HYPERLINK("http://www.ncbi.nlm.nih.gov/nuccore/NM_004272", "NM_004272")</f>
        <v>NM_004272</v>
      </c>
      <c r="K237" s="12" t="s">
        <v>4552</v>
      </c>
      <c r="L237" s="13" t="str">
        <f>HYPERLINK("http://asia.ensembl.org/Homo_sapiens/Gene/Summary?g=ENSG00000152413", "ENSG00000152413")</f>
        <v>ENSG00000152413</v>
      </c>
      <c r="M237" s="12" t="s">
        <v>13282</v>
      </c>
      <c r="N237" s="12" t="s">
        <v>13283</v>
      </c>
    </row>
    <row r="238" spans="1:14">
      <c r="A238" s="12" t="s">
        <v>8634</v>
      </c>
      <c r="B238" s="8">
        <v>8515.7372938354602</v>
      </c>
      <c r="C238" s="12">
        <v>2435.4029536611001</v>
      </c>
      <c r="D238" s="8">
        <v>1.8059709484948001</v>
      </c>
      <c r="E238" s="12">
        <v>4.6472191906294898E-4</v>
      </c>
      <c r="F238" s="8" t="s">
        <v>239</v>
      </c>
      <c r="G238" s="12" t="s">
        <v>240</v>
      </c>
      <c r="H238" s="12">
        <v>1</v>
      </c>
      <c r="I238" s="13" t="str">
        <f>HYPERLINK("http://www.ncbi.nlm.nih.gov/gene/1316", "1316")</f>
        <v>1316</v>
      </c>
      <c r="J238" s="12" t="s">
        <v>11913</v>
      </c>
      <c r="K238" s="12" t="s">
        <v>11914</v>
      </c>
      <c r="L238" s="13" t="str">
        <f>HYPERLINK("http://asia.ensembl.org/Homo_sapiens/Gene/Summary?g=ENSG00000067082", "ENSG00000067082")</f>
        <v>ENSG00000067082</v>
      </c>
      <c r="M238" s="12" t="s">
        <v>11915</v>
      </c>
      <c r="N238" s="12" t="s">
        <v>11916</v>
      </c>
    </row>
    <row r="239" spans="1:14">
      <c r="A239" s="12" t="s">
        <v>2000</v>
      </c>
      <c r="B239" s="8">
        <v>36908.742533992401</v>
      </c>
      <c r="C239" s="12">
        <v>10588.8929321329</v>
      </c>
      <c r="D239" s="8">
        <v>1.8014108228121199</v>
      </c>
      <c r="E239" s="12">
        <v>1.5845486105312799E-3</v>
      </c>
      <c r="F239" s="8" t="s">
        <v>2001</v>
      </c>
      <c r="G239" s="12" t="s">
        <v>2002</v>
      </c>
      <c r="H239" s="12">
        <v>1</v>
      </c>
      <c r="I239" s="13" t="str">
        <f>HYPERLINK("http://www.ncbi.nlm.nih.gov/gene/8507", "8507")</f>
        <v>8507</v>
      </c>
      <c r="J239" s="12" t="s">
        <v>12510</v>
      </c>
      <c r="K239" s="12" t="s">
        <v>12511</v>
      </c>
      <c r="L239" s="13" t="str">
        <f>HYPERLINK("http://asia.ensembl.org/Homo_sapiens/Gene/Summary?g=ENSG00000171617", "ENSG00000171617")</f>
        <v>ENSG00000171617</v>
      </c>
      <c r="M239" s="12" t="s">
        <v>12512</v>
      </c>
      <c r="N239" s="12" t="s">
        <v>12513</v>
      </c>
    </row>
    <row r="240" spans="1:14">
      <c r="A240" s="12" t="s">
        <v>9496</v>
      </c>
      <c r="B240" s="8">
        <v>869.61019914066298</v>
      </c>
      <c r="C240" s="12">
        <v>249.50628532739699</v>
      </c>
      <c r="D240" s="8">
        <v>1.8012927019409899</v>
      </c>
      <c r="E240" s="12">
        <v>6.1036790632893302E-4</v>
      </c>
      <c r="F240" s="8" t="s">
        <v>6601</v>
      </c>
      <c r="G240" s="12" t="s">
        <v>6602</v>
      </c>
      <c r="H240" s="12">
        <v>1</v>
      </c>
      <c r="I240" s="13" t="str">
        <f>HYPERLINK("http://www.ncbi.nlm.nih.gov/gene/81542", "81542")</f>
        <v>81542</v>
      </c>
      <c r="J240" s="13" t="str">
        <f>HYPERLINK("http://www.ncbi.nlm.nih.gov/nuccore/NM_030755", "NM_030755")</f>
        <v>NM_030755</v>
      </c>
      <c r="K240" s="12" t="s">
        <v>6603</v>
      </c>
      <c r="L240" s="13" t="str">
        <f>HYPERLINK("http://asia.ensembl.org/Homo_sapiens/Gene/Summary?g=ENSG00000139921", "ENSG00000139921")</f>
        <v>ENSG00000139921</v>
      </c>
      <c r="M240" s="12" t="s">
        <v>15053</v>
      </c>
      <c r="N240" s="12" t="s">
        <v>15054</v>
      </c>
    </row>
    <row r="241" spans="1:14">
      <c r="A241" s="12" t="s">
        <v>9282</v>
      </c>
      <c r="B241" s="8">
        <v>617.59710722477303</v>
      </c>
      <c r="C241" s="12">
        <v>177.84657541149801</v>
      </c>
      <c r="D241" s="8">
        <v>1.79603280081859</v>
      </c>
      <c r="E241" s="12">
        <v>2.9409025856280002E-4</v>
      </c>
      <c r="F241" s="8" t="s">
        <v>9283</v>
      </c>
      <c r="G241" s="12" t="s">
        <v>15024</v>
      </c>
      <c r="H241" s="12">
        <v>1</v>
      </c>
      <c r="I241" s="13" t="str">
        <f>HYPERLINK("http://www.ncbi.nlm.nih.gov/gene/219429", "219429")</f>
        <v>219429</v>
      </c>
      <c r="J241" s="13" t="str">
        <f>HYPERLINK("http://www.ncbi.nlm.nih.gov/nuccore/NM_001004700", "NM_001004700")</f>
        <v>NM_001004700</v>
      </c>
      <c r="K241" s="12" t="s">
        <v>9284</v>
      </c>
      <c r="L241" s="13" t="str">
        <f>HYPERLINK("http://asia.ensembl.org/Homo_sapiens/Gene/Summary?g=ENSG00000172188", "ENSG00000172188")</f>
        <v>ENSG00000172188</v>
      </c>
      <c r="M241" s="12" t="s">
        <v>9285</v>
      </c>
      <c r="N241" s="12" t="s">
        <v>9286</v>
      </c>
    </row>
    <row r="242" spans="1:14">
      <c r="A242" s="12" t="s">
        <v>11679</v>
      </c>
      <c r="B242" s="8">
        <v>5843.8418365484804</v>
      </c>
      <c r="C242" s="12">
        <v>1683.2701733936001</v>
      </c>
      <c r="D242" s="8">
        <v>1.7956503770413399</v>
      </c>
      <c r="E242" s="12">
        <v>2.17847014262576E-4</v>
      </c>
      <c r="F242" s="8" t="s">
        <v>38</v>
      </c>
      <c r="G242" s="12" t="s">
        <v>38</v>
      </c>
      <c r="H242" s="12">
        <v>1</v>
      </c>
      <c r="I242" s="12" t="s">
        <v>38</v>
      </c>
      <c r="J242" s="12" t="s">
        <v>38</v>
      </c>
      <c r="K242" s="12" t="s">
        <v>38</v>
      </c>
      <c r="L242" s="12" t="s">
        <v>11671</v>
      </c>
      <c r="M242" s="12" t="s">
        <v>11672</v>
      </c>
      <c r="N242" s="12" t="s">
        <v>11673</v>
      </c>
    </row>
    <row r="243" spans="1:14">
      <c r="A243" s="12" t="s">
        <v>2386</v>
      </c>
      <c r="B243" s="8">
        <v>261.48571478014702</v>
      </c>
      <c r="C243" s="12">
        <v>75.3503760553685</v>
      </c>
      <c r="D243" s="8">
        <v>1.7950455156934799</v>
      </c>
      <c r="E243" s="12">
        <v>2.1691037484812999E-3</v>
      </c>
      <c r="F243" s="8" t="s">
        <v>2387</v>
      </c>
      <c r="G243" s="12" t="s">
        <v>2388</v>
      </c>
      <c r="H243" s="12">
        <v>1</v>
      </c>
      <c r="I243" s="13" t="str">
        <f>HYPERLINK("http://www.ncbi.nlm.nih.gov/gene/64866", "64866")</f>
        <v>64866</v>
      </c>
      <c r="J243" s="13" t="str">
        <f>HYPERLINK("http://www.ncbi.nlm.nih.gov/nuccore/NM_022842", "NM_022842")</f>
        <v>NM_022842</v>
      </c>
      <c r="K243" s="12" t="s">
        <v>2389</v>
      </c>
      <c r="L243" s="13" t="str">
        <f>HYPERLINK("http://asia.ensembl.org/Homo_sapiens/Gene/Summary?g=ENSG00000163814", "ENSG00000163814")</f>
        <v>ENSG00000163814</v>
      </c>
      <c r="M243" s="12" t="s">
        <v>12622</v>
      </c>
      <c r="N243" s="12" t="s">
        <v>12623</v>
      </c>
    </row>
    <row r="244" spans="1:14">
      <c r="A244" s="12" t="s">
        <v>8470</v>
      </c>
      <c r="B244" s="8">
        <v>458.29576836534102</v>
      </c>
      <c r="C244" s="12">
        <v>132.08722479732299</v>
      </c>
      <c r="D244" s="8">
        <v>1.7947880259156599</v>
      </c>
      <c r="E244" s="12">
        <v>3.6886652491320798E-3</v>
      </c>
      <c r="F244" s="8" t="s">
        <v>8471</v>
      </c>
      <c r="G244" s="12" t="s">
        <v>8472</v>
      </c>
      <c r="H244" s="12">
        <v>1</v>
      </c>
      <c r="I244" s="13" t="str">
        <f>HYPERLINK("http://www.ncbi.nlm.nih.gov/gene/11059", "11059")</f>
        <v>11059</v>
      </c>
      <c r="J244" s="13" t="str">
        <f>HYPERLINK("http://www.ncbi.nlm.nih.gov/nuccore/NM_007013", "NM_007013")</f>
        <v>NM_007013</v>
      </c>
      <c r="K244" s="12" t="s">
        <v>8473</v>
      </c>
      <c r="L244" s="13" t="str">
        <f>HYPERLINK("http://asia.ensembl.org/Homo_sapiens/Gene/Summary?g=ENSG00000123124", "ENSG00000123124")</f>
        <v>ENSG00000123124</v>
      </c>
      <c r="M244" s="12" t="s">
        <v>14754</v>
      </c>
      <c r="N244" s="12" t="s">
        <v>14755</v>
      </c>
    </row>
    <row r="245" spans="1:14">
      <c r="A245" s="12" t="s">
        <v>11175</v>
      </c>
      <c r="B245" s="8">
        <v>1245.24104490124</v>
      </c>
      <c r="C245" s="12">
        <v>359.044410126304</v>
      </c>
      <c r="D245" s="8">
        <v>1.79419082912795</v>
      </c>
      <c r="E245" s="12">
        <v>3.1145466908910199E-3</v>
      </c>
      <c r="F245" s="8" t="s">
        <v>8012</v>
      </c>
      <c r="G245" s="12" t="s">
        <v>8013</v>
      </c>
      <c r="H245" s="12">
        <v>4</v>
      </c>
      <c r="I245" s="12" t="s">
        <v>8014</v>
      </c>
      <c r="J245" s="12" t="s">
        <v>14645</v>
      </c>
      <c r="K245" s="12" t="s">
        <v>14646</v>
      </c>
      <c r="L245" s="13" t="str">
        <f>HYPERLINK("http://asia.ensembl.org/Homo_sapiens/Gene/Summary?g=ENSG00000086200", "ENSG00000086200")</f>
        <v>ENSG00000086200</v>
      </c>
      <c r="M245" s="12" t="s">
        <v>14647</v>
      </c>
      <c r="N245" s="12" t="s">
        <v>14648</v>
      </c>
    </row>
    <row r="246" spans="1:14">
      <c r="A246" s="12" t="s">
        <v>1358</v>
      </c>
      <c r="B246" s="8">
        <v>808.89666717623902</v>
      </c>
      <c r="C246" s="12">
        <v>233.2364970662</v>
      </c>
      <c r="D246" s="8">
        <v>1.7941618563000099</v>
      </c>
      <c r="E246" s="12">
        <v>6.1993289711008504E-3</v>
      </c>
      <c r="F246" s="8" t="s">
        <v>1359</v>
      </c>
      <c r="G246" s="12" t="s">
        <v>12313</v>
      </c>
      <c r="H246" s="12">
        <v>1</v>
      </c>
      <c r="I246" s="13" t="str">
        <f>HYPERLINK("http://www.ncbi.nlm.nih.gov/gene/2152", "2152")</f>
        <v>2152</v>
      </c>
      <c r="J246" s="12" t="s">
        <v>12314</v>
      </c>
      <c r="K246" s="12" t="s">
        <v>12315</v>
      </c>
      <c r="L246" s="13" t="str">
        <f>HYPERLINK("http://asia.ensembl.org/Homo_sapiens/Gene/Summary?g=ENSG00000117525", "ENSG00000117525")</f>
        <v>ENSG00000117525</v>
      </c>
      <c r="M246" s="12" t="s">
        <v>12316</v>
      </c>
      <c r="N246" s="12" t="s">
        <v>12317</v>
      </c>
    </row>
    <row r="247" spans="1:14">
      <c r="A247" s="12" t="s">
        <v>11837</v>
      </c>
      <c r="B247" s="8">
        <v>3063.28348438901</v>
      </c>
      <c r="C247" s="12">
        <v>885.19856669806597</v>
      </c>
      <c r="D247" s="8">
        <v>1.7910058636849999</v>
      </c>
      <c r="E247" s="12">
        <v>6.0971345037246502E-4</v>
      </c>
      <c r="F247" s="8" t="s">
        <v>6726</v>
      </c>
      <c r="G247" s="12" t="s">
        <v>6727</v>
      </c>
      <c r="H247" s="12">
        <v>1</v>
      </c>
      <c r="I247" s="13" t="str">
        <f>HYPERLINK("http://www.ncbi.nlm.nih.gov/gene/57494", "57494")</f>
        <v>57494</v>
      </c>
      <c r="J247" s="13" t="str">
        <f>HYPERLINK("http://www.ncbi.nlm.nih.gov/nuccore/NM_020734", "NM_020734")</f>
        <v>NM_020734</v>
      </c>
      <c r="K247" s="12" t="s">
        <v>6728</v>
      </c>
      <c r="L247" s="13" t="str">
        <f>HYPERLINK("http://asia.ensembl.org/Homo_sapiens/Gene/Summary?g=ENSG00000166532", "ENSG00000166532")</f>
        <v>ENSG00000166532</v>
      </c>
      <c r="M247" s="12" t="s">
        <v>16223</v>
      </c>
      <c r="N247" s="12" t="s">
        <v>16224</v>
      </c>
    </row>
    <row r="248" spans="1:14">
      <c r="A248" s="12" t="s">
        <v>4614</v>
      </c>
      <c r="B248" s="8">
        <v>497.26797530999698</v>
      </c>
      <c r="C248" s="12">
        <v>143.734669046721</v>
      </c>
      <c r="D248" s="8">
        <v>1.7906154384698201</v>
      </c>
      <c r="E248" s="12">
        <v>1.46074779858282E-3</v>
      </c>
      <c r="F248" s="8" t="s">
        <v>4615</v>
      </c>
      <c r="G248" s="12" t="s">
        <v>4616</v>
      </c>
      <c r="H248" s="12">
        <v>1</v>
      </c>
      <c r="I248" s="13" t="str">
        <f>HYPERLINK("http://www.ncbi.nlm.nih.gov/gene/57506", "57506")</f>
        <v>57506</v>
      </c>
      <c r="J248" s="12" t="s">
        <v>13317</v>
      </c>
      <c r="K248" s="12" t="s">
        <v>13318</v>
      </c>
      <c r="L248" s="13" t="str">
        <f>HYPERLINK("http://asia.ensembl.org/Homo_sapiens/Gene/Summary?g=ENSG00000088888", "ENSG00000088888")</f>
        <v>ENSG00000088888</v>
      </c>
      <c r="M248" s="12" t="s">
        <v>13319</v>
      </c>
      <c r="N248" s="12" t="s">
        <v>13320</v>
      </c>
    </row>
    <row r="249" spans="1:14">
      <c r="A249" s="12" t="s">
        <v>7423</v>
      </c>
      <c r="B249" s="8">
        <v>172.564651376109</v>
      </c>
      <c r="C249" s="12">
        <v>50</v>
      </c>
      <c r="D249" s="8">
        <v>1.78713696910988</v>
      </c>
      <c r="E249" s="12">
        <v>2.6365453414701302E-4</v>
      </c>
      <c r="F249" s="8" t="s">
        <v>7424</v>
      </c>
      <c r="G249" s="12" t="s">
        <v>7425</v>
      </c>
      <c r="H249" s="12">
        <v>1</v>
      </c>
      <c r="I249" s="13" t="str">
        <f>HYPERLINK("http://www.ncbi.nlm.nih.gov/gene/389421", "389421")</f>
        <v>389421</v>
      </c>
      <c r="J249" s="13" t="str">
        <f>HYPERLINK("http://www.ncbi.nlm.nih.gov/nuccore/NM_001004317", "NM_001004317")</f>
        <v>NM_001004317</v>
      </c>
      <c r="K249" s="12" t="s">
        <v>7426</v>
      </c>
      <c r="L249" s="13" t="str">
        <f>HYPERLINK("http://asia.ensembl.org/Homo_sapiens/Gene/Summary?g=ENSG00000187772", "ENSG00000187772")</f>
        <v>ENSG00000187772</v>
      </c>
      <c r="M249" s="12" t="s">
        <v>7427</v>
      </c>
      <c r="N249" s="12" t="s">
        <v>7428</v>
      </c>
    </row>
    <row r="250" spans="1:14">
      <c r="A250" s="12" t="s">
        <v>1258</v>
      </c>
      <c r="B250" s="8">
        <v>429.00104228810198</v>
      </c>
      <c r="C250" s="12">
        <v>124.499253566844</v>
      </c>
      <c r="D250" s="8">
        <v>1.7848440601920801</v>
      </c>
      <c r="E250" s="12">
        <v>2.8131953704188799E-4</v>
      </c>
      <c r="F250" s="8" t="s">
        <v>1259</v>
      </c>
      <c r="G250" s="12" t="s">
        <v>1260</v>
      </c>
      <c r="H250" s="12">
        <v>1</v>
      </c>
      <c r="I250" s="13" t="str">
        <f>HYPERLINK("http://www.ncbi.nlm.nih.gov/gene/22876", "22876")</f>
        <v>22876</v>
      </c>
      <c r="J250" s="12" t="s">
        <v>12284</v>
      </c>
      <c r="K250" s="12" t="s">
        <v>12285</v>
      </c>
      <c r="L250" s="13" t="str">
        <f>HYPERLINK("http://asia.ensembl.org/Homo_sapiens/Gene/Summary?g=ENSG00000198825", "ENSG00000198825")</f>
        <v>ENSG00000198825</v>
      </c>
      <c r="M250" s="12" t="s">
        <v>12286</v>
      </c>
      <c r="N250" s="12" t="s">
        <v>12287</v>
      </c>
    </row>
    <row r="251" spans="1:14">
      <c r="A251" s="12" t="s">
        <v>10721</v>
      </c>
      <c r="B251" s="8">
        <v>1650.9741103496499</v>
      </c>
      <c r="C251" s="12">
        <v>480.70941564275398</v>
      </c>
      <c r="D251" s="8">
        <v>1.78008052999856</v>
      </c>
      <c r="E251" s="12">
        <v>6.8651973807590198E-3</v>
      </c>
      <c r="F251" s="8" t="s">
        <v>5888</v>
      </c>
      <c r="G251" s="12" t="s">
        <v>5889</v>
      </c>
      <c r="H251" s="12">
        <v>1</v>
      </c>
      <c r="I251" s="13" t="str">
        <f>HYPERLINK("http://www.ncbi.nlm.nih.gov/gene/160518", "160518")</f>
        <v>160518</v>
      </c>
      <c r="J251" s="13" t="str">
        <f>HYPERLINK("http://www.ncbi.nlm.nih.gov/nuccore/NM_144973", "NM_144973")</f>
        <v>NM_144973</v>
      </c>
      <c r="K251" s="12" t="s">
        <v>5890</v>
      </c>
      <c r="L251" s="13" t="str">
        <f>HYPERLINK("http://asia.ensembl.org/Homo_sapiens/Gene/Summary?g=ENSG00000170456", "ENSG00000170456")</f>
        <v>ENSG00000170456</v>
      </c>
      <c r="M251" s="12" t="s">
        <v>15767</v>
      </c>
      <c r="N251" s="12" t="s">
        <v>15768</v>
      </c>
    </row>
    <row r="252" spans="1:14">
      <c r="A252" s="12" t="s">
        <v>10433</v>
      </c>
      <c r="B252" s="8">
        <v>13501.804819371</v>
      </c>
      <c r="C252" s="12">
        <v>3932.9137022831801</v>
      </c>
      <c r="D252" s="8">
        <v>1.77948183325803</v>
      </c>
      <c r="E252" s="12">
        <v>2.9535469593341798E-3</v>
      </c>
      <c r="F252" s="8" t="s">
        <v>10434</v>
      </c>
      <c r="G252" s="12" t="s">
        <v>10435</v>
      </c>
      <c r="H252" s="12">
        <v>1</v>
      </c>
      <c r="I252" s="13" t="str">
        <f>HYPERLINK("http://www.ncbi.nlm.nih.gov/gene/353088", "353088")</f>
        <v>353088</v>
      </c>
      <c r="J252" s="13" t="str">
        <f>HYPERLINK("http://www.ncbi.nlm.nih.gov/nuccore/NM_001001415", "NM_001001415")</f>
        <v>NM_001001415</v>
      </c>
      <c r="K252" s="12" t="s">
        <v>10436</v>
      </c>
      <c r="L252" s="13" t="str">
        <f>HYPERLINK("http://asia.ensembl.org/Homo_sapiens/Gene/Summary?g=ENSG00000197013", "ENSG00000197013")</f>
        <v>ENSG00000197013</v>
      </c>
      <c r="M252" s="12" t="s">
        <v>15429</v>
      </c>
      <c r="N252" s="12" t="s">
        <v>15430</v>
      </c>
    </row>
    <row r="253" spans="1:14">
      <c r="A253" s="12" t="s">
        <v>11517</v>
      </c>
      <c r="B253" s="8">
        <v>201.35870478582501</v>
      </c>
      <c r="C253" s="12">
        <v>58.7286910258833</v>
      </c>
      <c r="D253" s="8">
        <v>1.77763045388402</v>
      </c>
      <c r="E253" s="12">
        <v>8.82288178675464E-3</v>
      </c>
      <c r="F253" s="8" t="s">
        <v>11518</v>
      </c>
      <c r="G253" s="12" t="s">
        <v>11519</v>
      </c>
      <c r="H253" s="12">
        <v>1</v>
      </c>
      <c r="I253" s="13" t="str">
        <f>HYPERLINK("http://www.ncbi.nlm.nih.gov/gene/162966", "162966")</f>
        <v>162966</v>
      </c>
      <c r="J253" s="13" t="str">
        <f>HYPERLINK("http://www.ncbi.nlm.nih.gov/nuccore/NM_198457", "NM_198457")</f>
        <v>NM_198457</v>
      </c>
      <c r="K253" s="12" t="s">
        <v>11520</v>
      </c>
      <c r="L253" s="13" t="str">
        <f>HYPERLINK("http://asia.ensembl.org/Homo_sapiens/Gene/Summary?g=ENSG00000189190", "ENSG00000189190")</f>
        <v>ENSG00000189190</v>
      </c>
      <c r="M253" s="12" t="s">
        <v>16156</v>
      </c>
      <c r="N253" s="12" t="s">
        <v>16157</v>
      </c>
    </row>
    <row r="254" spans="1:14">
      <c r="A254" s="12" t="s">
        <v>8697</v>
      </c>
      <c r="B254" s="8">
        <v>1817.7877890602099</v>
      </c>
      <c r="C254" s="12">
        <v>530.97293374427898</v>
      </c>
      <c r="D254" s="8">
        <v>1.7754735603635901</v>
      </c>
      <c r="E254" s="12">
        <v>1.1337671110752299E-3</v>
      </c>
      <c r="F254" s="8" t="s">
        <v>8698</v>
      </c>
      <c r="G254" s="12" t="s">
        <v>8699</v>
      </c>
      <c r="H254" s="12">
        <v>4</v>
      </c>
      <c r="I254" s="12" t="s">
        <v>8700</v>
      </c>
      <c r="J254" s="12" t="s">
        <v>8701</v>
      </c>
      <c r="K254" s="12" t="s">
        <v>6413</v>
      </c>
      <c r="L254" s="13" t="str">
        <f>HYPERLINK("http://asia.ensembl.org/Homo_sapiens/Gene/Summary?g=ENSG00000282417", "ENSG00000282417")</f>
        <v>ENSG00000282417</v>
      </c>
      <c r="M254" s="12" t="s">
        <v>14830</v>
      </c>
    </row>
    <row r="255" spans="1:14">
      <c r="A255" s="12" t="s">
        <v>8469</v>
      </c>
      <c r="B255" s="8">
        <v>8651.25178722081</v>
      </c>
      <c r="C255" s="12">
        <v>2527.5572981195401</v>
      </c>
      <c r="D255" s="8">
        <v>1.77516510018913</v>
      </c>
      <c r="E255" s="12">
        <v>5.6367080048951596E-3</v>
      </c>
      <c r="F255" s="8" t="s">
        <v>2808</v>
      </c>
      <c r="G255" s="12" t="s">
        <v>2809</v>
      </c>
      <c r="H255" s="12">
        <v>1</v>
      </c>
      <c r="I255" s="13" t="str">
        <f>HYPERLINK("http://www.ncbi.nlm.nih.gov/gene/9662", "9662")</f>
        <v>9662</v>
      </c>
      <c r="J255" s="13" t="str">
        <f>HYPERLINK("http://www.ncbi.nlm.nih.gov/nuccore/NM_025009", "NM_025009")</f>
        <v>NM_025009</v>
      </c>
      <c r="K255" s="12" t="s">
        <v>2810</v>
      </c>
      <c r="L255" s="13" t="str">
        <f>HYPERLINK("http://asia.ensembl.org/Homo_sapiens/Gene/Summary?g=ENSG00000174799", "ENSG00000174799")</f>
        <v>ENSG00000174799</v>
      </c>
      <c r="M255" s="12" t="s">
        <v>14752</v>
      </c>
      <c r="N255" s="12" t="s">
        <v>14753</v>
      </c>
    </row>
    <row r="256" spans="1:14">
      <c r="A256" s="12" t="s">
        <v>5838</v>
      </c>
      <c r="B256" s="8">
        <v>4459.5464445109101</v>
      </c>
      <c r="C256" s="12">
        <v>1303.3600477114401</v>
      </c>
      <c r="D256" s="8">
        <v>1.77466131179646</v>
      </c>
      <c r="E256" s="12">
        <v>3.8283953303293598E-3</v>
      </c>
      <c r="F256" s="8" t="s">
        <v>5839</v>
      </c>
      <c r="G256" s="12" t="s">
        <v>5840</v>
      </c>
      <c r="H256" s="12">
        <v>1</v>
      </c>
      <c r="I256" s="13" t="str">
        <f>HYPERLINK("http://www.ncbi.nlm.nih.gov/gene/202018", "202018")</f>
        <v>202018</v>
      </c>
      <c r="J256" s="13" t="str">
        <f>HYPERLINK("http://www.ncbi.nlm.nih.gov/nuccore/NM_153365", "NM_153365")</f>
        <v>NM_153365</v>
      </c>
      <c r="K256" s="12" t="s">
        <v>5841</v>
      </c>
      <c r="L256" s="13" t="str">
        <f>HYPERLINK("http://asia.ensembl.org/Homo_sapiens/Gene/Summary?g=ENSG00000169762", "ENSG00000169762")</f>
        <v>ENSG00000169762</v>
      </c>
      <c r="M256" s="12" t="s">
        <v>13929</v>
      </c>
      <c r="N256" s="12" t="s">
        <v>13930</v>
      </c>
    </row>
    <row r="257" spans="1:14">
      <c r="A257" s="12" t="s">
        <v>10707</v>
      </c>
      <c r="B257" s="8">
        <v>278.52782783442501</v>
      </c>
      <c r="C257" s="12">
        <v>81.438559555195297</v>
      </c>
      <c r="D257" s="8">
        <v>1.7740375259666501</v>
      </c>
      <c r="E257" s="12">
        <v>1.9232013621748401E-3</v>
      </c>
      <c r="F257" s="8" t="s">
        <v>5470</v>
      </c>
      <c r="G257" s="12" t="s">
        <v>5471</v>
      </c>
      <c r="H257" s="12">
        <v>1</v>
      </c>
      <c r="I257" s="13" t="str">
        <f>HYPERLINK("http://www.ncbi.nlm.nih.gov/gene/3667", "3667")</f>
        <v>3667</v>
      </c>
      <c r="J257" s="13" t="str">
        <f>HYPERLINK("http://www.ncbi.nlm.nih.gov/nuccore/NM_005544", "NM_005544")</f>
        <v>NM_005544</v>
      </c>
      <c r="K257" s="12" t="s">
        <v>5472</v>
      </c>
      <c r="L257" s="13" t="str">
        <f>HYPERLINK("http://asia.ensembl.org/Homo_sapiens/Gene/Summary?g=ENSG00000169047", "ENSG00000169047")</f>
        <v>ENSG00000169047</v>
      </c>
      <c r="M257" s="12" t="s">
        <v>13777</v>
      </c>
      <c r="N257" s="12" t="s">
        <v>5473</v>
      </c>
    </row>
    <row r="258" spans="1:14">
      <c r="A258" s="12" t="s">
        <v>4452</v>
      </c>
      <c r="B258" s="8">
        <v>1209.12676256743</v>
      </c>
      <c r="C258" s="12">
        <v>354.00980101782801</v>
      </c>
      <c r="D258" s="8">
        <v>1.77210429390948</v>
      </c>
      <c r="E258" s="12">
        <v>9.8609249471309206E-3</v>
      </c>
      <c r="F258" s="8" t="s">
        <v>1764</v>
      </c>
      <c r="G258" s="12" t="s">
        <v>1765</v>
      </c>
      <c r="H258" s="12">
        <v>1</v>
      </c>
      <c r="I258" s="13" t="str">
        <f>HYPERLINK("http://www.ncbi.nlm.nih.gov/gene/79269", "79269")</f>
        <v>79269</v>
      </c>
      <c r="J258" s="13" t="str">
        <f>HYPERLINK("http://www.ncbi.nlm.nih.gov/nuccore/NM_024345", "NM_024345")</f>
        <v>NM_024345</v>
      </c>
      <c r="K258" s="12" t="s">
        <v>1766</v>
      </c>
      <c r="L258" s="13" t="str">
        <f>HYPERLINK("http://asia.ensembl.org/Homo_sapiens/Gene/Summary?g=ENSG00000122741", "ENSG00000122741")</f>
        <v>ENSG00000122741</v>
      </c>
      <c r="M258" s="12" t="s">
        <v>13240</v>
      </c>
      <c r="N258" s="12" t="s">
        <v>13241</v>
      </c>
    </row>
    <row r="259" spans="1:14">
      <c r="A259" s="12" t="s">
        <v>9914</v>
      </c>
      <c r="B259" s="8">
        <v>1487.24252637317</v>
      </c>
      <c r="C259" s="12">
        <v>435.45411943896499</v>
      </c>
      <c r="D259" s="8">
        <v>1.7720473026369401</v>
      </c>
      <c r="E259" s="12">
        <v>6.3617650440657804E-4</v>
      </c>
      <c r="F259" s="8" t="s">
        <v>4366</v>
      </c>
      <c r="G259" s="12" t="s">
        <v>4367</v>
      </c>
      <c r="H259" s="12">
        <v>1</v>
      </c>
      <c r="I259" s="13" t="str">
        <f>HYPERLINK("http://www.ncbi.nlm.nih.gov/gene/7112", "7112")</f>
        <v>7112</v>
      </c>
      <c r="J259" s="12" t="s">
        <v>15237</v>
      </c>
      <c r="K259" s="12" t="s">
        <v>15238</v>
      </c>
      <c r="L259" s="13" t="str">
        <f>HYPERLINK("http://asia.ensembl.org/Homo_sapiens/Gene/Summary?g=ENSG00000120802", "ENSG00000120802")</f>
        <v>ENSG00000120802</v>
      </c>
      <c r="M259" s="12" t="s">
        <v>15239</v>
      </c>
      <c r="N259" s="12" t="s">
        <v>15240</v>
      </c>
    </row>
    <row r="260" spans="1:14">
      <c r="A260" s="12" t="s">
        <v>11271</v>
      </c>
      <c r="B260" s="8">
        <v>170.65158818112801</v>
      </c>
      <c r="C260" s="12">
        <v>49.999999999999901</v>
      </c>
      <c r="D260" s="8">
        <v>1.77105384104314</v>
      </c>
      <c r="E260" s="12">
        <v>1.55009675637888E-3</v>
      </c>
      <c r="F260" s="8" t="s">
        <v>38</v>
      </c>
      <c r="G260" s="12" t="s">
        <v>38</v>
      </c>
      <c r="H260" s="12">
        <v>1</v>
      </c>
      <c r="I260" s="12" t="s">
        <v>38</v>
      </c>
      <c r="J260" s="12" t="s">
        <v>38</v>
      </c>
      <c r="K260" s="12" t="s">
        <v>38</v>
      </c>
      <c r="L260" s="13" t="str">
        <f>HYPERLINK("http://asia.ensembl.org/Homo_sapiens/Gene/Summary?g=ENSG00000153558", "ENSG00000153558")</f>
        <v>ENSG00000153558</v>
      </c>
      <c r="M260" s="12" t="s">
        <v>11272</v>
      </c>
      <c r="N260" s="12" t="s">
        <v>16082</v>
      </c>
    </row>
    <row r="261" spans="1:14">
      <c r="A261" s="12" t="s">
        <v>7056</v>
      </c>
      <c r="B261" s="8">
        <v>7263.4839978897098</v>
      </c>
      <c r="C261" s="12">
        <v>2129.9993892871598</v>
      </c>
      <c r="D261" s="8">
        <v>1.76980869957575</v>
      </c>
      <c r="E261" s="12">
        <v>4.2090988682318402E-3</v>
      </c>
      <c r="F261" s="8" t="s">
        <v>7057</v>
      </c>
      <c r="G261" s="12" t="s">
        <v>7058</v>
      </c>
      <c r="H261" s="12">
        <v>1</v>
      </c>
      <c r="I261" s="13" t="str">
        <f>HYPERLINK("http://www.ncbi.nlm.nih.gov/gene/5597", "5597")</f>
        <v>5597</v>
      </c>
      <c r="J261" s="13" t="str">
        <f>HYPERLINK("http://www.ncbi.nlm.nih.gov/nuccore/NM_002748", "NM_002748")</f>
        <v>NM_002748</v>
      </c>
      <c r="K261" s="12" t="s">
        <v>7059</v>
      </c>
      <c r="L261" s="13" t="str">
        <f>HYPERLINK("http://asia.ensembl.org/Homo_sapiens/Gene/Summary?g=ENSG00000069956", "ENSG00000069956")</f>
        <v>ENSG00000069956</v>
      </c>
      <c r="M261" s="12" t="s">
        <v>14335</v>
      </c>
      <c r="N261" s="12" t="s">
        <v>7060</v>
      </c>
    </row>
    <row r="262" spans="1:14">
      <c r="A262" s="12" t="s">
        <v>3518</v>
      </c>
      <c r="B262" s="8">
        <v>177.02710815283399</v>
      </c>
      <c r="C262" s="12">
        <v>51.928192278706597</v>
      </c>
      <c r="D262" s="8">
        <v>1.76938038865488</v>
      </c>
      <c r="E262" s="12">
        <v>2.11024066365719E-4</v>
      </c>
      <c r="F262" s="8" t="s">
        <v>3519</v>
      </c>
      <c r="G262" s="12" t="s">
        <v>1875</v>
      </c>
      <c r="H262" s="12">
        <v>1</v>
      </c>
      <c r="I262" s="13" t="str">
        <f>HYPERLINK("http://www.ncbi.nlm.nih.gov/gene/26013", "26013")</f>
        <v>26013</v>
      </c>
      <c r="J262" s="12" t="s">
        <v>13027</v>
      </c>
      <c r="K262" s="12" t="s">
        <v>13028</v>
      </c>
      <c r="L262" s="13" t="str">
        <f>HYPERLINK("http://asia.ensembl.org/Homo_sapiens/Gene/Summary?g=ENSG00000185513", "ENSG00000185513")</f>
        <v>ENSG00000185513</v>
      </c>
      <c r="M262" s="12" t="s">
        <v>13029</v>
      </c>
      <c r="N262" s="12" t="s">
        <v>13030</v>
      </c>
    </row>
    <row r="263" spans="1:14">
      <c r="A263" s="12" t="s">
        <v>8507</v>
      </c>
      <c r="B263" s="8">
        <v>10855.872405854399</v>
      </c>
      <c r="C263" s="12">
        <v>3194.0476178890399</v>
      </c>
      <c r="D263" s="8">
        <v>1.76501794311578</v>
      </c>
      <c r="E263" s="12">
        <v>3.79437056004311E-3</v>
      </c>
      <c r="F263" s="8" t="s">
        <v>8508</v>
      </c>
      <c r="G263" s="12" t="s">
        <v>8509</v>
      </c>
      <c r="H263" s="12">
        <v>1</v>
      </c>
      <c r="I263" s="13" t="str">
        <f>HYPERLINK("http://www.ncbi.nlm.nih.gov/gene/253827", "253827")</f>
        <v>253827</v>
      </c>
      <c r="J263" s="12" t="s">
        <v>14766</v>
      </c>
      <c r="K263" s="12" t="s">
        <v>14767</v>
      </c>
      <c r="L263" s="13" t="str">
        <f>HYPERLINK("http://asia.ensembl.org/Homo_sapiens/Gene/Summary?g=ENSG00000174099", "ENSG00000174099")</f>
        <v>ENSG00000174099</v>
      </c>
      <c r="M263" s="12" t="s">
        <v>14768</v>
      </c>
      <c r="N263" s="12" t="s">
        <v>14769</v>
      </c>
    </row>
    <row r="264" spans="1:14">
      <c r="A264" s="12" t="s">
        <v>10716</v>
      </c>
      <c r="B264" s="8">
        <v>2928.7492185873898</v>
      </c>
      <c r="C264" s="12">
        <v>863.12641583610798</v>
      </c>
      <c r="D264" s="8">
        <v>1.7626408831451701</v>
      </c>
      <c r="E264" s="12">
        <v>1.8640447926312499E-3</v>
      </c>
      <c r="F264" s="8" t="s">
        <v>2972</v>
      </c>
      <c r="G264" s="12" t="s">
        <v>15756</v>
      </c>
      <c r="H264" s="12">
        <v>1</v>
      </c>
      <c r="I264" s="13" t="str">
        <f>HYPERLINK("http://www.ncbi.nlm.nih.gov/gene/5861", "5861")</f>
        <v>5861</v>
      </c>
      <c r="J264" s="12" t="s">
        <v>15757</v>
      </c>
      <c r="K264" s="12" t="s">
        <v>15758</v>
      </c>
      <c r="L264" s="13" t="str">
        <f>HYPERLINK("http://asia.ensembl.org/Homo_sapiens/Gene/Summary?g=ENSG00000138069", "ENSG00000138069")</f>
        <v>ENSG00000138069</v>
      </c>
      <c r="M264" s="12" t="s">
        <v>15759</v>
      </c>
      <c r="N264" s="12" t="s">
        <v>15760</v>
      </c>
    </row>
    <row r="265" spans="1:14">
      <c r="A265" s="12" t="s">
        <v>2888</v>
      </c>
      <c r="B265" s="8">
        <v>3287.5411066329102</v>
      </c>
      <c r="C265" s="12">
        <v>969.03935547231299</v>
      </c>
      <c r="D265" s="8">
        <v>1.7623817697003901</v>
      </c>
      <c r="E265" s="12">
        <v>5.9145250536716803E-3</v>
      </c>
      <c r="F265" s="8" t="s">
        <v>2889</v>
      </c>
      <c r="G265" s="12" t="s">
        <v>2890</v>
      </c>
      <c r="H265" s="12">
        <v>1</v>
      </c>
      <c r="I265" s="13" t="str">
        <f>HYPERLINK("http://www.ncbi.nlm.nih.gov/gene/1147", "1147")</f>
        <v>1147</v>
      </c>
      <c r="J265" s="13" t="str">
        <f>HYPERLINK("http://www.ncbi.nlm.nih.gov/nuccore/NM_001278", "NM_001278")</f>
        <v>NM_001278</v>
      </c>
      <c r="K265" s="12" t="s">
        <v>2891</v>
      </c>
      <c r="L265" s="13" t="str">
        <f>HYPERLINK("http://asia.ensembl.org/Homo_sapiens/Gene/Summary?g=ENSG00000213341", "ENSG00000213341")</f>
        <v>ENSG00000213341</v>
      </c>
      <c r="M265" s="12" t="s">
        <v>12828</v>
      </c>
      <c r="N265" s="12" t="s">
        <v>2892</v>
      </c>
    </row>
    <row r="266" spans="1:14">
      <c r="A266" s="12" t="s">
        <v>10862</v>
      </c>
      <c r="B266" s="8">
        <v>4291.7444661935197</v>
      </c>
      <c r="C266" s="12">
        <v>1268.8430580348099</v>
      </c>
      <c r="D266" s="8">
        <v>1.75805054479984</v>
      </c>
      <c r="E266" s="12">
        <v>1.28432159850453E-3</v>
      </c>
      <c r="F266" s="8" t="s">
        <v>6866</v>
      </c>
      <c r="G266" s="12" t="s">
        <v>6867</v>
      </c>
      <c r="H266" s="12">
        <v>4</v>
      </c>
      <c r="I266" s="12" t="s">
        <v>6868</v>
      </c>
      <c r="J266" s="12" t="s">
        <v>14280</v>
      </c>
      <c r="K266" s="12" t="s">
        <v>14281</v>
      </c>
      <c r="L266" s="13" t="str">
        <f>HYPERLINK("http://asia.ensembl.org/Homo_sapiens/Gene/Summary?g=ENSG00000110172", "ENSG00000110172")</f>
        <v>ENSG00000110172</v>
      </c>
      <c r="M266" s="12" t="s">
        <v>14282</v>
      </c>
      <c r="N266" s="12" t="s">
        <v>14283</v>
      </c>
    </row>
    <row r="267" spans="1:14">
      <c r="A267" s="12" t="s">
        <v>1473</v>
      </c>
      <c r="B267" s="8">
        <v>1294.4547628292801</v>
      </c>
      <c r="C267" s="12">
        <v>383.016666736231</v>
      </c>
      <c r="D267" s="8">
        <v>1.75686547178927</v>
      </c>
      <c r="E267" s="12">
        <v>4.0957281313291601E-4</v>
      </c>
      <c r="F267" s="8" t="s">
        <v>1474</v>
      </c>
      <c r="G267" s="12" t="s">
        <v>1475</v>
      </c>
      <c r="H267" s="12">
        <v>1</v>
      </c>
      <c r="I267" s="13" t="str">
        <f>HYPERLINK("http://www.ncbi.nlm.nih.gov/gene/114088", "114088")</f>
        <v>114088</v>
      </c>
      <c r="J267" s="13" t="str">
        <f>HYPERLINK("http://www.ncbi.nlm.nih.gov/nuccore/NM_015163", "NM_015163")</f>
        <v>NM_015163</v>
      </c>
      <c r="K267" s="12" t="s">
        <v>1476</v>
      </c>
      <c r="L267" s="13" t="str">
        <f>HYPERLINK("http://asia.ensembl.org/Homo_sapiens/Gene/Summary?g=ENSG00000100505", "ENSG00000100505")</f>
        <v>ENSG00000100505</v>
      </c>
      <c r="M267" s="12" t="s">
        <v>12334</v>
      </c>
      <c r="N267" s="12" t="s">
        <v>12335</v>
      </c>
    </row>
    <row r="268" spans="1:14">
      <c r="A268" s="12" t="s">
        <v>1861</v>
      </c>
      <c r="B268" s="8">
        <v>358.702429440944</v>
      </c>
      <c r="C268" s="12">
        <v>106.255830912294</v>
      </c>
      <c r="D268" s="8">
        <v>1.75524550350762</v>
      </c>
      <c r="E268" s="12">
        <v>5.8819013505789905E-4</v>
      </c>
      <c r="F268" s="8" t="s">
        <v>1862</v>
      </c>
      <c r="G268" s="12" t="s">
        <v>1863</v>
      </c>
      <c r="H268" s="12">
        <v>1</v>
      </c>
      <c r="I268" s="13" t="str">
        <f>HYPERLINK("http://www.ncbi.nlm.nih.gov/gene/154215", "154215")</f>
        <v>154215</v>
      </c>
      <c r="J268" s="12" t="s">
        <v>12452</v>
      </c>
      <c r="K268" s="12" t="s">
        <v>12453</v>
      </c>
      <c r="L268" s="13" t="str">
        <f>HYPERLINK("http://asia.ensembl.org/Homo_sapiens/Gene/Summary?g=ENSG00000188580", "ENSG00000188580")</f>
        <v>ENSG00000188580</v>
      </c>
      <c r="M268" s="12" t="s">
        <v>12454</v>
      </c>
      <c r="N268" s="12" t="s">
        <v>12455</v>
      </c>
    </row>
    <row r="269" spans="1:14">
      <c r="A269" s="12" t="s">
        <v>1325</v>
      </c>
      <c r="B269" s="8">
        <v>2841.5376591092099</v>
      </c>
      <c r="C269" s="12">
        <v>841.84165791935004</v>
      </c>
      <c r="D269" s="8">
        <v>1.75505102839224</v>
      </c>
      <c r="E269" s="12">
        <v>6.8888956425277601E-3</v>
      </c>
      <c r="F269" s="8" t="s">
        <v>1326</v>
      </c>
      <c r="G269" s="12" t="s">
        <v>12302</v>
      </c>
      <c r="H269" s="12">
        <v>1</v>
      </c>
      <c r="I269" s="13" t="str">
        <f>HYPERLINK("http://www.ncbi.nlm.nih.gov/gene/9475", "9475")</f>
        <v>9475</v>
      </c>
      <c r="J269" s="13" t="str">
        <f>HYPERLINK("http://www.ncbi.nlm.nih.gov/nuccore/NM_004850", "NM_004850")</f>
        <v>NM_004850</v>
      </c>
      <c r="K269" s="12" t="s">
        <v>1327</v>
      </c>
      <c r="L269" s="13" t="str">
        <f>HYPERLINK("http://asia.ensembl.org/Homo_sapiens/Gene/Summary?g=ENSG00000134318", "ENSG00000134318")</f>
        <v>ENSG00000134318</v>
      </c>
      <c r="M269" s="12" t="s">
        <v>12303</v>
      </c>
      <c r="N269" s="12" t="s">
        <v>12304</v>
      </c>
    </row>
    <row r="270" spans="1:14">
      <c r="A270" s="12" t="s">
        <v>5436</v>
      </c>
      <c r="B270" s="8">
        <v>338.62173751721201</v>
      </c>
      <c r="C270" s="12">
        <v>100.435767176645</v>
      </c>
      <c r="D270" s="8">
        <v>1.7534014554891999</v>
      </c>
      <c r="E270" s="12">
        <v>3.0507363502754502E-3</v>
      </c>
      <c r="F270" s="8" t="s">
        <v>5437</v>
      </c>
      <c r="G270" s="12" t="s">
        <v>13752</v>
      </c>
      <c r="H270" s="12">
        <v>1</v>
      </c>
      <c r="I270" s="13" t="str">
        <f>HYPERLINK("http://www.ncbi.nlm.nih.gov/gene/54468", "54468")</f>
        <v>54468</v>
      </c>
      <c r="J270" s="13" t="str">
        <f>HYPERLINK("http://www.ncbi.nlm.nih.gov/nuccore/NM_019005", "NM_019005")</f>
        <v>NM_019005</v>
      </c>
      <c r="K270" s="12" t="s">
        <v>5438</v>
      </c>
      <c r="L270" s="13" t="str">
        <f>HYPERLINK("http://asia.ensembl.org/Homo_sapiens/Gene/Summary?g=ENSG00000164654", "ENSG00000164654")</f>
        <v>ENSG00000164654</v>
      </c>
      <c r="M270" s="12" t="s">
        <v>13753</v>
      </c>
      <c r="N270" s="12" t="s">
        <v>13754</v>
      </c>
    </row>
    <row r="271" spans="1:14">
      <c r="A271" s="12" t="s">
        <v>10580</v>
      </c>
      <c r="B271" s="8">
        <v>168.477146643428</v>
      </c>
      <c r="C271" s="12">
        <v>50</v>
      </c>
      <c r="D271" s="8">
        <v>1.7525529079634701</v>
      </c>
      <c r="E271" s="12">
        <v>1.3510366053406101E-4</v>
      </c>
      <c r="F271" s="8" t="s">
        <v>3177</v>
      </c>
      <c r="G271" s="12" t="s">
        <v>12892</v>
      </c>
      <c r="H271" s="12">
        <v>1</v>
      </c>
      <c r="I271" s="13" t="str">
        <f>HYPERLINK("http://www.ncbi.nlm.nih.gov/gene/151354", "151354")</f>
        <v>151354</v>
      </c>
      <c r="J271" s="13" t="str">
        <f>HYPERLINK("http://www.ncbi.nlm.nih.gov/nuccore/NM_145175", "NM_145175")</f>
        <v>NM_145175</v>
      </c>
      <c r="K271" s="12" t="s">
        <v>3178</v>
      </c>
      <c r="L271" s="13" t="str">
        <f>HYPERLINK("http://asia.ensembl.org/Homo_sapiens/Gene/Summary?g=ENSG00000162981", "ENSG00000162981")</f>
        <v>ENSG00000162981</v>
      </c>
      <c r="M271" s="12" t="s">
        <v>12893</v>
      </c>
      <c r="N271" s="12" t="s">
        <v>12894</v>
      </c>
    </row>
    <row r="272" spans="1:14">
      <c r="A272" s="12" t="s">
        <v>2564</v>
      </c>
      <c r="B272" s="8">
        <v>1939.48969916737</v>
      </c>
      <c r="C272" s="12">
        <v>575.86887437102803</v>
      </c>
      <c r="D272" s="8">
        <v>1.75186486178881</v>
      </c>
      <c r="E272" s="12">
        <v>4.9146759876404697E-3</v>
      </c>
      <c r="F272" s="8" t="s">
        <v>2565</v>
      </c>
      <c r="G272" s="12" t="s">
        <v>2566</v>
      </c>
      <c r="H272" s="12">
        <v>1</v>
      </c>
      <c r="I272" s="13" t="str">
        <f>HYPERLINK("http://www.ncbi.nlm.nih.gov/gene/2195", "2195")</f>
        <v>2195</v>
      </c>
      <c r="J272" s="13" t="str">
        <f>HYPERLINK("http://www.ncbi.nlm.nih.gov/nuccore/NM_005245", "NM_005245")</f>
        <v>NM_005245</v>
      </c>
      <c r="K272" s="12" t="s">
        <v>2567</v>
      </c>
      <c r="L272" s="13" t="str">
        <f>HYPERLINK("http://asia.ensembl.org/Homo_sapiens/Gene/Summary?g=ENSG00000083857", "ENSG00000083857")</f>
        <v>ENSG00000083857</v>
      </c>
      <c r="M272" s="12" t="s">
        <v>12697</v>
      </c>
      <c r="N272" s="12" t="s">
        <v>12698</v>
      </c>
    </row>
    <row r="273" spans="1:14">
      <c r="A273" s="12" t="s">
        <v>3506</v>
      </c>
      <c r="B273" s="8">
        <v>1601.3096749200399</v>
      </c>
      <c r="C273" s="12">
        <v>476.22242430823297</v>
      </c>
      <c r="D273" s="8">
        <v>1.74954487472192</v>
      </c>
      <c r="E273" s="12">
        <v>2.0272756593012501E-3</v>
      </c>
      <c r="F273" s="8" t="s">
        <v>3507</v>
      </c>
      <c r="G273" s="12" t="s">
        <v>3508</v>
      </c>
      <c r="H273" s="12">
        <v>1</v>
      </c>
      <c r="I273" s="13" t="str">
        <f>HYPERLINK("http://www.ncbi.nlm.nih.gov/gene/23435", "23435")</f>
        <v>23435</v>
      </c>
      <c r="J273" s="13" t="str">
        <f>HYPERLINK("http://www.ncbi.nlm.nih.gov/nuccore/NM_007375", "NM_007375")</f>
        <v>NM_007375</v>
      </c>
      <c r="K273" s="12" t="s">
        <v>3509</v>
      </c>
      <c r="L273" s="13" t="str">
        <f>HYPERLINK("http://asia.ensembl.org/Homo_sapiens/Gene/Summary?g=ENSG00000120948", "ENSG00000120948")</f>
        <v>ENSG00000120948</v>
      </c>
      <c r="M273" s="12" t="s">
        <v>13020</v>
      </c>
      <c r="N273" s="12" t="s">
        <v>13021</v>
      </c>
    </row>
    <row r="274" spans="1:14">
      <c r="A274" s="12" t="s">
        <v>5467</v>
      </c>
      <c r="B274" s="8">
        <v>2416.9398913842501</v>
      </c>
      <c r="C274" s="12">
        <v>718.82639574320399</v>
      </c>
      <c r="D274" s="8">
        <v>1.74946630255542</v>
      </c>
      <c r="E274" s="12">
        <v>2.04248855005916E-3</v>
      </c>
      <c r="F274" s="8" t="s">
        <v>5468</v>
      </c>
      <c r="G274" s="12" t="s">
        <v>13772</v>
      </c>
      <c r="H274" s="12">
        <v>1</v>
      </c>
      <c r="I274" s="13" t="str">
        <f>HYPERLINK("http://www.ncbi.nlm.nih.gov/gene/9135", "9135")</f>
        <v>9135</v>
      </c>
      <c r="J274" s="12" t="s">
        <v>13773</v>
      </c>
      <c r="K274" s="12" t="s">
        <v>13774</v>
      </c>
      <c r="L274" s="13" t="str">
        <f>HYPERLINK("http://asia.ensembl.org/Homo_sapiens/Gene/Summary?g=ENSG00000029725", "ENSG00000029725")</f>
        <v>ENSG00000029725</v>
      </c>
      <c r="M274" s="12" t="s">
        <v>13775</v>
      </c>
      <c r="N274" s="12" t="s">
        <v>13776</v>
      </c>
    </row>
    <row r="275" spans="1:14">
      <c r="A275" s="12" t="s">
        <v>11266</v>
      </c>
      <c r="B275" s="8">
        <v>19589.910909262599</v>
      </c>
      <c r="C275" s="12">
        <v>5831.4923701084399</v>
      </c>
      <c r="D275" s="8">
        <v>1.7481737925351799</v>
      </c>
      <c r="E275" s="12">
        <v>7.9217023220477297E-3</v>
      </c>
      <c r="F275" s="8" t="s">
        <v>4447</v>
      </c>
      <c r="G275" s="12" t="s">
        <v>4448</v>
      </c>
      <c r="H275" s="12">
        <v>1</v>
      </c>
      <c r="I275" s="13" t="str">
        <f>HYPERLINK("http://www.ncbi.nlm.nih.gov/gene/25962", "25962")</f>
        <v>25962</v>
      </c>
      <c r="J275" s="13" t="str">
        <f>HYPERLINK("http://www.ncbi.nlm.nih.gov/nuccore/NM_015496", "NM_015496")</f>
        <v>NM_015496</v>
      </c>
      <c r="K275" s="12" t="s">
        <v>4449</v>
      </c>
      <c r="L275" s="13" t="str">
        <f>HYPERLINK("http://asia.ensembl.org/Homo_sapiens/Gene/Summary?g=ENSG00000164944", "ENSG00000164944")</f>
        <v>ENSG00000164944</v>
      </c>
      <c r="M275" s="12" t="s">
        <v>13238</v>
      </c>
      <c r="N275" s="12" t="s">
        <v>13239</v>
      </c>
    </row>
    <row r="276" spans="1:14">
      <c r="A276" s="12" t="s">
        <v>11821</v>
      </c>
      <c r="B276" s="8">
        <v>1271.50186598661</v>
      </c>
      <c r="C276" s="12">
        <v>378.74340162256698</v>
      </c>
      <c r="D276" s="8">
        <v>1.74724091962252</v>
      </c>
      <c r="E276" s="12">
        <v>1.07844919438757E-3</v>
      </c>
      <c r="F276" s="8" t="s">
        <v>11822</v>
      </c>
      <c r="G276" s="12" t="s">
        <v>11823</v>
      </c>
      <c r="H276" s="12">
        <v>1</v>
      </c>
      <c r="I276" s="13" t="str">
        <f>HYPERLINK("http://www.ncbi.nlm.nih.gov/gene/51542", "51542")</f>
        <v>51542</v>
      </c>
      <c r="J276" s="12" t="s">
        <v>16212</v>
      </c>
      <c r="K276" s="12" t="s">
        <v>16213</v>
      </c>
      <c r="L276" s="13" t="str">
        <f>HYPERLINK("http://asia.ensembl.org/Homo_sapiens/Gene/Summary?g=ENSG00000143952", "ENSG00000143952")</f>
        <v>ENSG00000143952</v>
      </c>
      <c r="M276" s="12" t="s">
        <v>16214</v>
      </c>
      <c r="N276" s="12" t="s">
        <v>16215</v>
      </c>
    </row>
    <row r="277" spans="1:14">
      <c r="A277" s="12" t="s">
        <v>9016</v>
      </c>
      <c r="B277" s="8">
        <v>6919.8191925566998</v>
      </c>
      <c r="C277" s="12">
        <v>2061.99301960609</v>
      </c>
      <c r="D277" s="8">
        <v>1.74669489347409</v>
      </c>
      <c r="E277" s="12">
        <v>1.5671682805704001E-3</v>
      </c>
      <c r="F277" s="8" t="s">
        <v>5248</v>
      </c>
      <c r="G277" s="12" t="s">
        <v>14968</v>
      </c>
      <c r="H277" s="12">
        <v>1</v>
      </c>
      <c r="I277" s="13" t="str">
        <f>HYPERLINK("http://www.ncbi.nlm.nih.gov/gene/331", "331")</f>
        <v>331</v>
      </c>
      <c r="J277" s="12" t="s">
        <v>14969</v>
      </c>
      <c r="K277" s="12" t="s">
        <v>14970</v>
      </c>
      <c r="L277" s="13" t="str">
        <f>HYPERLINK("http://asia.ensembl.org/Homo_sapiens/Gene/Summary?g=ENSG00000101966", "ENSG00000101966")</f>
        <v>ENSG00000101966</v>
      </c>
      <c r="M277" s="12" t="s">
        <v>14971</v>
      </c>
      <c r="N277" s="12" t="s">
        <v>14972</v>
      </c>
    </row>
    <row r="278" spans="1:14">
      <c r="A278" s="12" t="s">
        <v>11434</v>
      </c>
      <c r="B278" s="8">
        <v>480.04577249235001</v>
      </c>
      <c r="C278" s="12">
        <v>143.15332081478999</v>
      </c>
      <c r="D278" s="8">
        <v>1.7456108359479401</v>
      </c>
      <c r="E278" s="12">
        <v>6.6762529293640498E-3</v>
      </c>
      <c r="F278" s="8" t="s">
        <v>11435</v>
      </c>
      <c r="G278" s="12" t="s">
        <v>16136</v>
      </c>
      <c r="H278" s="12">
        <v>4</v>
      </c>
      <c r="I278" s="12" t="s">
        <v>11436</v>
      </c>
      <c r="J278" s="12" t="s">
        <v>11437</v>
      </c>
      <c r="K278" s="12" t="s">
        <v>11438</v>
      </c>
      <c r="L278" s="12" t="s">
        <v>11439</v>
      </c>
      <c r="M278" s="12" t="s">
        <v>16137</v>
      </c>
      <c r="N278" s="12" t="s">
        <v>16138</v>
      </c>
    </row>
    <row r="279" spans="1:14">
      <c r="A279" s="12" t="s">
        <v>1235</v>
      </c>
      <c r="B279" s="8">
        <v>10083.928554195099</v>
      </c>
      <c r="C279" s="12">
        <v>3014.4467061663299</v>
      </c>
      <c r="D279" s="8">
        <v>1.7420926730597901</v>
      </c>
      <c r="E279" s="12">
        <v>5.1929906245372802E-3</v>
      </c>
      <c r="F279" s="8" t="s">
        <v>1236</v>
      </c>
      <c r="G279" s="12" t="s">
        <v>1237</v>
      </c>
      <c r="H279" s="12">
        <v>1</v>
      </c>
      <c r="I279" s="13" t="str">
        <f>HYPERLINK("http://www.ncbi.nlm.nih.gov/gene/6729", "6729")</f>
        <v>6729</v>
      </c>
      <c r="J279" s="12" t="s">
        <v>12270</v>
      </c>
      <c r="K279" s="12" t="s">
        <v>12271</v>
      </c>
      <c r="L279" s="13" t="str">
        <f>HYPERLINK("http://asia.ensembl.org/Homo_sapiens/Gene/Summary?g=ENSG00000100883", "ENSG00000100883")</f>
        <v>ENSG00000100883</v>
      </c>
      <c r="M279" s="12" t="s">
        <v>12272</v>
      </c>
      <c r="N279" s="12" t="s">
        <v>12273</v>
      </c>
    </row>
    <row r="280" spans="1:14">
      <c r="A280" s="12" t="s">
        <v>4011</v>
      </c>
      <c r="B280" s="8">
        <v>489.90590098407898</v>
      </c>
      <c r="C280" s="12">
        <v>146.67943111154199</v>
      </c>
      <c r="D280" s="8">
        <v>1.7398380934297299</v>
      </c>
      <c r="E280" s="12">
        <v>3.7669205672132902E-3</v>
      </c>
      <c r="F280" s="8" t="s">
        <v>4012</v>
      </c>
      <c r="G280" s="12" t="s">
        <v>4013</v>
      </c>
      <c r="H280" s="12">
        <v>1</v>
      </c>
      <c r="I280" s="13" t="str">
        <f>HYPERLINK("http://www.ncbi.nlm.nih.gov/gene/121457", "121457")</f>
        <v>121457</v>
      </c>
      <c r="J280" s="13" t="str">
        <f>HYPERLINK("http://www.ncbi.nlm.nih.gov/nuccore/NM_153687", "NM_153687")</f>
        <v>NM_153687</v>
      </c>
      <c r="K280" s="12" t="s">
        <v>4014</v>
      </c>
      <c r="L280" s="13" t="str">
        <f>HYPERLINK("http://asia.ensembl.org/Homo_sapiens/Gene/Summary?g=ENSG00000166130", "ENSG00000166130")</f>
        <v>ENSG00000166130</v>
      </c>
      <c r="M280" s="12" t="s">
        <v>13149</v>
      </c>
      <c r="N280" s="12" t="s">
        <v>13150</v>
      </c>
    </row>
    <row r="281" spans="1:14">
      <c r="A281" s="12" t="s">
        <v>1958</v>
      </c>
      <c r="B281" s="8">
        <v>13710.982868041499</v>
      </c>
      <c r="C281" s="12">
        <v>4109.95838563697</v>
      </c>
      <c r="D281" s="8">
        <v>1.73813630257874</v>
      </c>
      <c r="E281" s="12">
        <v>6.0002139391164997E-3</v>
      </c>
      <c r="F281" s="8" t="s">
        <v>1959</v>
      </c>
      <c r="G281" s="12" t="s">
        <v>1960</v>
      </c>
      <c r="H281" s="12">
        <v>1</v>
      </c>
      <c r="I281" s="13" t="str">
        <f>HYPERLINK("http://www.ncbi.nlm.nih.gov/gene/56995", "56995")</f>
        <v>56995</v>
      </c>
      <c r="J281" s="12" t="s">
        <v>12487</v>
      </c>
      <c r="K281" s="12" t="s">
        <v>12488</v>
      </c>
      <c r="L281" s="13" t="str">
        <f>HYPERLINK("http://asia.ensembl.org/Homo_sapiens/Gene/Summary?g=ENSG00000130338", "ENSG00000130338")</f>
        <v>ENSG00000130338</v>
      </c>
      <c r="M281" s="12" t="s">
        <v>12489</v>
      </c>
      <c r="N281" s="12" t="s">
        <v>12490</v>
      </c>
    </row>
    <row r="282" spans="1:14">
      <c r="A282" s="12" t="s">
        <v>3970</v>
      </c>
      <c r="B282" s="8">
        <v>166.54910821717499</v>
      </c>
      <c r="C282" s="12">
        <v>49.999999999999901</v>
      </c>
      <c r="D282" s="8">
        <v>1.73594762916024</v>
      </c>
      <c r="E282" s="12">
        <v>1.3963341023596599E-2</v>
      </c>
      <c r="F282" s="8" t="s">
        <v>3971</v>
      </c>
      <c r="G282" s="12" t="s">
        <v>3972</v>
      </c>
      <c r="H282" s="12">
        <v>1</v>
      </c>
      <c r="I282" s="13" t="str">
        <f>HYPERLINK("http://www.ncbi.nlm.nih.gov/gene/3082", "3082")</f>
        <v>3082</v>
      </c>
      <c r="J282" s="12" t="s">
        <v>13142</v>
      </c>
      <c r="K282" s="12" t="s">
        <v>13143</v>
      </c>
      <c r="L282" s="13" t="str">
        <f>HYPERLINK("http://asia.ensembl.org/Homo_sapiens/Gene/Summary?g=ENSG00000019991", "ENSG00000019991")</f>
        <v>ENSG00000019991</v>
      </c>
      <c r="M282" s="12" t="s">
        <v>13144</v>
      </c>
      <c r="N282" s="12" t="s">
        <v>13145</v>
      </c>
    </row>
    <row r="283" spans="1:14">
      <c r="A283" s="12" t="s">
        <v>315</v>
      </c>
      <c r="B283" s="8">
        <v>484.02946134738602</v>
      </c>
      <c r="C283" s="12">
        <v>145.736925662007</v>
      </c>
      <c r="D283" s="8">
        <v>1.7317284001683899</v>
      </c>
      <c r="E283" s="12">
        <v>6.9471515444119204E-3</v>
      </c>
      <c r="F283" s="8" t="s">
        <v>316</v>
      </c>
      <c r="G283" s="12" t="s">
        <v>317</v>
      </c>
      <c r="H283" s="12">
        <v>1</v>
      </c>
      <c r="I283" s="13" t="str">
        <f>HYPERLINK("http://www.ncbi.nlm.nih.gov/gene/285203", "285203")</f>
        <v>285203</v>
      </c>
      <c r="J283" s="13" t="str">
        <f>HYPERLINK("http://www.ncbi.nlm.nih.gov/nuccore/NM_173654", "NM_173654")</f>
        <v>NM_173654</v>
      </c>
      <c r="K283" s="12" t="s">
        <v>318</v>
      </c>
      <c r="L283" s="13" t="str">
        <f>HYPERLINK("http://asia.ensembl.org/Homo_sapiens/Gene/Summary?g=ENSG00000163378", "ENSG00000163378")</f>
        <v>ENSG00000163378</v>
      </c>
      <c r="M283" s="12" t="s">
        <v>11941</v>
      </c>
      <c r="N283" s="12" t="s">
        <v>11942</v>
      </c>
    </row>
    <row r="284" spans="1:14">
      <c r="A284" s="12" t="s">
        <v>4752</v>
      </c>
      <c r="B284" s="8">
        <v>4013.0443976041001</v>
      </c>
      <c r="C284" s="12">
        <v>1209.8321627243299</v>
      </c>
      <c r="D284" s="8">
        <v>1.7298901976407299</v>
      </c>
      <c r="E284" s="12">
        <v>2.6941249917696499E-3</v>
      </c>
      <c r="F284" s="8" t="s">
        <v>4753</v>
      </c>
      <c r="G284" s="12" t="s">
        <v>4754</v>
      </c>
      <c r="H284" s="12">
        <v>1</v>
      </c>
      <c r="I284" s="13" t="str">
        <f>HYPERLINK("http://www.ncbi.nlm.nih.gov/gene/2058", "2058")</f>
        <v>2058</v>
      </c>
      <c r="J284" s="13" t="str">
        <f>HYPERLINK("http://www.ncbi.nlm.nih.gov/nuccore/NM_004446", "NM_004446")</f>
        <v>NM_004446</v>
      </c>
      <c r="K284" s="12" t="s">
        <v>4755</v>
      </c>
      <c r="L284" s="13" t="str">
        <f>HYPERLINK("http://asia.ensembl.org/Homo_sapiens/Gene/Summary?g=ENSG00000136628", "ENSG00000136628")</f>
        <v>ENSG00000136628</v>
      </c>
      <c r="M284" s="12" t="s">
        <v>13371</v>
      </c>
      <c r="N284" s="12" t="s">
        <v>13372</v>
      </c>
    </row>
    <row r="285" spans="1:14">
      <c r="A285" s="12" t="s">
        <v>11132</v>
      </c>
      <c r="B285" s="8">
        <v>252.001644282993</v>
      </c>
      <c r="C285" s="12">
        <v>76.115691252027801</v>
      </c>
      <c r="D285" s="8">
        <v>1.7271673460550501</v>
      </c>
      <c r="E285" s="12">
        <v>6.0686800809423901E-5</v>
      </c>
      <c r="F285" s="8" t="s">
        <v>2557</v>
      </c>
      <c r="G285" s="12" t="s">
        <v>12685</v>
      </c>
      <c r="H285" s="12">
        <v>1</v>
      </c>
      <c r="I285" s="13" t="str">
        <f>HYPERLINK("http://www.ncbi.nlm.nih.gov/gene/55089", "55089")</f>
        <v>55089</v>
      </c>
      <c r="J285" s="12" t="s">
        <v>12686</v>
      </c>
      <c r="K285" s="12" t="s">
        <v>12687</v>
      </c>
      <c r="L285" s="13" t="str">
        <f>HYPERLINK("http://asia.ensembl.org/Homo_sapiens/Gene/Summary?g=ENSG00000139209", "ENSG00000139209")</f>
        <v>ENSG00000139209</v>
      </c>
      <c r="M285" s="12" t="s">
        <v>12688</v>
      </c>
      <c r="N285" s="12" t="s">
        <v>12689</v>
      </c>
    </row>
    <row r="286" spans="1:14">
      <c r="A286" s="12" t="s">
        <v>7651</v>
      </c>
      <c r="B286" s="8">
        <v>623.82084601047995</v>
      </c>
      <c r="C286" s="12">
        <v>188.470104573264</v>
      </c>
      <c r="D286" s="8">
        <v>1.7267960645029501</v>
      </c>
      <c r="E286" s="12">
        <v>2.7360466941273201E-3</v>
      </c>
      <c r="F286" s="8" t="s">
        <v>7652</v>
      </c>
      <c r="G286" s="12" t="s">
        <v>7653</v>
      </c>
      <c r="H286" s="12">
        <v>1</v>
      </c>
      <c r="I286" s="13" t="str">
        <f>HYPERLINK("http://www.ncbi.nlm.nih.gov/gene/7569", "7569")</f>
        <v>7569</v>
      </c>
      <c r="J286" s="12" t="s">
        <v>14495</v>
      </c>
      <c r="K286" s="12" t="s">
        <v>14496</v>
      </c>
      <c r="L286" s="13" t="str">
        <f>HYPERLINK("http://asia.ensembl.org/Homo_sapiens/Gene/Summary?g=ENSG00000147118", "ENSG00000147118")</f>
        <v>ENSG00000147118</v>
      </c>
      <c r="M286" s="12" t="s">
        <v>14497</v>
      </c>
      <c r="N286" s="12" t="s">
        <v>14498</v>
      </c>
    </row>
    <row r="287" spans="1:14">
      <c r="A287" s="12" t="s">
        <v>11702</v>
      </c>
      <c r="B287" s="8">
        <v>22212.2025890445</v>
      </c>
      <c r="C287" s="12">
        <v>6719.8134683950302</v>
      </c>
      <c r="D287" s="8">
        <v>1.7248593676799899</v>
      </c>
      <c r="E287" s="12">
        <v>6.3066321701044604E-3</v>
      </c>
      <c r="F287" s="8" t="s">
        <v>38</v>
      </c>
      <c r="G287" s="12" t="s">
        <v>38</v>
      </c>
      <c r="H287" s="12">
        <v>1</v>
      </c>
      <c r="I287" s="12" t="s">
        <v>38</v>
      </c>
      <c r="J287" s="12" t="s">
        <v>38</v>
      </c>
      <c r="K287" s="12" t="s">
        <v>38</v>
      </c>
      <c r="L287" s="12" t="s">
        <v>11703</v>
      </c>
      <c r="M287" s="12" t="s">
        <v>11704</v>
      </c>
      <c r="N287" s="12" t="s">
        <v>16186</v>
      </c>
    </row>
    <row r="288" spans="1:14">
      <c r="A288" s="12" t="s">
        <v>6010</v>
      </c>
      <c r="B288" s="8">
        <v>2105.4107270417098</v>
      </c>
      <c r="C288" s="12">
        <v>637.31416071204899</v>
      </c>
      <c r="D288" s="8">
        <v>1.72402508212837</v>
      </c>
      <c r="E288" s="12">
        <v>6.0336314453754702E-3</v>
      </c>
      <c r="F288" s="8" t="s">
        <v>6011</v>
      </c>
      <c r="G288" s="12" t="s">
        <v>6012</v>
      </c>
      <c r="H288" s="12">
        <v>1</v>
      </c>
      <c r="I288" s="13" t="str">
        <f>HYPERLINK("http://www.ncbi.nlm.nih.gov/gene/54495", "54495")</f>
        <v>54495</v>
      </c>
      <c r="J288" s="13" t="str">
        <f>HYPERLINK("http://www.ncbi.nlm.nih.gov/nuccore/NM_019022", "NM_019022")</f>
        <v>NM_019022</v>
      </c>
      <c r="K288" s="12" t="s">
        <v>6013</v>
      </c>
      <c r="L288" s="13" t="str">
        <f>HYPERLINK("http://asia.ensembl.org/Homo_sapiens/Gene/Summary?g=ENSG00000166479", "ENSG00000166479")</f>
        <v>ENSG00000166479</v>
      </c>
      <c r="M288" s="12" t="s">
        <v>14008</v>
      </c>
      <c r="N288" s="12" t="s">
        <v>14009</v>
      </c>
    </row>
    <row r="289" spans="1:14">
      <c r="A289" s="12" t="s">
        <v>1378</v>
      </c>
      <c r="B289" s="8">
        <v>750.762046868536</v>
      </c>
      <c r="C289" s="12">
        <v>227.355530961722</v>
      </c>
      <c r="D289" s="8">
        <v>1.7234056182403501</v>
      </c>
      <c r="E289" s="12">
        <v>9.85837117913181E-4</v>
      </c>
      <c r="F289" s="8" t="s">
        <v>1379</v>
      </c>
      <c r="G289" s="12" t="s">
        <v>1380</v>
      </c>
      <c r="H289" s="12">
        <v>1</v>
      </c>
      <c r="I289" s="13" t="str">
        <f>HYPERLINK("http://www.ncbi.nlm.nih.gov/gene/1602", "1602")</f>
        <v>1602</v>
      </c>
      <c r="J289" s="12" t="s">
        <v>12320</v>
      </c>
      <c r="K289" s="12" t="s">
        <v>12321</v>
      </c>
      <c r="L289" s="13" t="str">
        <f>HYPERLINK("http://asia.ensembl.org/Homo_sapiens/Gene/Summary?g=ENSG00000276644", "ENSG00000276644")</f>
        <v>ENSG00000276644</v>
      </c>
      <c r="M289" s="12" t="s">
        <v>12322</v>
      </c>
      <c r="N289" s="12" t="s">
        <v>12323</v>
      </c>
    </row>
    <row r="290" spans="1:14">
      <c r="A290" s="12" t="s">
        <v>11281</v>
      </c>
      <c r="B290" s="8">
        <v>9027.5071640993192</v>
      </c>
      <c r="C290" s="12">
        <v>2737.46021035896</v>
      </c>
      <c r="D290" s="8">
        <v>1.7214896651287199</v>
      </c>
      <c r="E290" s="12">
        <v>3.1101618741751101E-3</v>
      </c>
      <c r="F290" s="8" t="s">
        <v>38</v>
      </c>
      <c r="G290" s="12" t="s">
        <v>38</v>
      </c>
      <c r="H290" s="12">
        <v>1</v>
      </c>
      <c r="I290" s="12" t="s">
        <v>38</v>
      </c>
      <c r="J290" s="12" t="s">
        <v>38</v>
      </c>
      <c r="K290" s="12" t="s">
        <v>38</v>
      </c>
      <c r="L290" s="13" t="str">
        <f>HYPERLINK("http://asia.ensembl.org/Homo_sapiens/Gene/Summary?g=ENSG00000163527", "ENSG00000163527")</f>
        <v>ENSG00000163527</v>
      </c>
      <c r="M290" s="12" t="s">
        <v>11282</v>
      </c>
      <c r="N290" s="12" t="s">
        <v>4730</v>
      </c>
    </row>
    <row r="291" spans="1:14">
      <c r="A291" s="12" t="s">
        <v>3525</v>
      </c>
      <c r="B291" s="8">
        <v>853.52774231272997</v>
      </c>
      <c r="C291" s="12">
        <v>258.84389653876502</v>
      </c>
      <c r="D291" s="8">
        <v>1.7213557458172</v>
      </c>
      <c r="E291" s="12">
        <v>5.1984200937331597E-3</v>
      </c>
      <c r="F291" s="8" t="s">
        <v>3526</v>
      </c>
      <c r="G291" s="12" t="s">
        <v>3527</v>
      </c>
      <c r="H291" s="12">
        <v>1</v>
      </c>
      <c r="I291" s="13" t="str">
        <f>HYPERLINK("http://www.ncbi.nlm.nih.gov/gene/27107", "27107")</f>
        <v>27107</v>
      </c>
      <c r="J291" s="13" t="str">
        <f>HYPERLINK("http://www.ncbi.nlm.nih.gov/nuccore/NM_014415", "NM_014415")</f>
        <v>NM_014415</v>
      </c>
      <c r="K291" s="12" t="s">
        <v>3528</v>
      </c>
      <c r="L291" s="13" t="str">
        <f>HYPERLINK("http://asia.ensembl.org/Homo_sapiens/Gene/Summary?g=ENSG00000066422", "ENSG00000066422")</f>
        <v>ENSG00000066422</v>
      </c>
      <c r="M291" s="12" t="s">
        <v>13035</v>
      </c>
      <c r="N291" s="12" t="s">
        <v>13036</v>
      </c>
    </row>
    <row r="292" spans="1:14">
      <c r="A292" s="12" t="s">
        <v>8011</v>
      </c>
      <c r="B292" s="8">
        <v>2407.9668937691999</v>
      </c>
      <c r="C292" s="12">
        <v>730.45184657110701</v>
      </c>
      <c r="D292" s="8">
        <v>1.7209544823790599</v>
      </c>
      <c r="E292" s="12">
        <v>2.1951522733538601E-3</v>
      </c>
      <c r="F292" s="8" t="s">
        <v>8012</v>
      </c>
      <c r="G292" s="12" t="s">
        <v>8013</v>
      </c>
      <c r="H292" s="12">
        <v>4</v>
      </c>
      <c r="I292" s="12" t="s">
        <v>8014</v>
      </c>
      <c r="J292" s="12" t="s">
        <v>14645</v>
      </c>
      <c r="K292" s="12" t="s">
        <v>14646</v>
      </c>
      <c r="L292" s="13" t="str">
        <f>HYPERLINK("http://asia.ensembl.org/Homo_sapiens/Gene/Summary?g=ENSG00000086200", "ENSG00000086200")</f>
        <v>ENSG00000086200</v>
      </c>
      <c r="M292" s="12" t="s">
        <v>14647</v>
      </c>
      <c r="N292" s="12" t="s">
        <v>14648</v>
      </c>
    </row>
    <row r="293" spans="1:14">
      <c r="A293" s="12" t="s">
        <v>5078</v>
      </c>
      <c r="B293" s="8">
        <v>3328.4171465701102</v>
      </c>
      <c r="C293" s="12">
        <v>1010.690316949</v>
      </c>
      <c r="D293" s="8">
        <v>1.71949524363654</v>
      </c>
      <c r="E293" s="12">
        <v>6.1234752631761499E-4</v>
      </c>
      <c r="F293" s="8" t="s">
        <v>5079</v>
      </c>
      <c r="G293" s="12" t="s">
        <v>13572</v>
      </c>
      <c r="H293" s="12">
        <v>1</v>
      </c>
      <c r="I293" s="13" t="str">
        <f>HYPERLINK("http://www.ncbi.nlm.nih.gov/gene/27340", "27340")</f>
        <v>27340</v>
      </c>
      <c r="J293" s="13" t="str">
        <f>HYPERLINK("http://www.ncbi.nlm.nih.gov/nuccore/NM_014503", "NM_014503")</f>
        <v>NM_014503</v>
      </c>
      <c r="K293" s="12" t="s">
        <v>5080</v>
      </c>
      <c r="L293" s="13" t="str">
        <f>HYPERLINK("http://asia.ensembl.org/Homo_sapiens/Gene/Summary?g=ENSG00000120800", "ENSG00000120800")</f>
        <v>ENSG00000120800</v>
      </c>
      <c r="M293" s="12" t="s">
        <v>13573</v>
      </c>
      <c r="N293" s="12" t="s">
        <v>5081</v>
      </c>
    </row>
    <row r="294" spans="1:14">
      <c r="A294" s="12" t="s">
        <v>11286</v>
      </c>
      <c r="B294" s="8">
        <v>1576.0841267149899</v>
      </c>
      <c r="C294" s="12">
        <v>479.05301597999102</v>
      </c>
      <c r="D294" s="8">
        <v>1.71808731314088</v>
      </c>
      <c r="E294" s="12">
        <v>2.8840719059009602E-4</v>
      </c>
      <c r="F294" s="8" t="s">
        <v>2782</v>
      </c>
      <c r="G294" s="12" t="s">
        <v>12778</v>
      </c>
      <c r="H294" s="12">
        <v>1</v>
      </c>
      <c r="I294" s="13" t="str">
        <f>HYPERLINK("http://www.ncbi.nlm.nih.gov/gene/29966", "29966")</f>
        <v>29966</v>
      </c>
      <c r="J294" s="12" t="s">
        <v>12779</v>
      </c>
      <c r="K294" s="12" t="s">
        <v>12780</v>
      </c>
      <c r="L294" s="13" t="str">
        <f>HYPERLINK("http://asia.ensembl.org/Homo_sapiens/Gene/Summary?g=ENSG00000196792", "ENSG00000196792")</f>
        <v>ENSG00000196792</v>
      </c>
      <c r="M294" s="12" t="s">
        <v>12781</v>
      </c>
      <c r="N294" s="12" t="s">
        <v>12782</v>
      </c>
    </row>
    <row r="295" spans="1:14">
      <c r="A295" s="12" t="s">
        <v>524</v>
      </c>
      <c r="B295" s="8">
        <v>421.96472591371901</v>
      </c>
      <c r="C295" s="12">
        <v>128.26174566081099</v>
      </c>
      <c r="D295" s="8">
        <v>1.7180314543600399</v>
      </c>
      <c r="E295" s="12">
        <v>8.2777721798173304E-3</v>
      </c>
      <c r="F295" s="8" t="s">
        <v>525</v>
      </c>
      <c r="G295" s="12" t="s">
        <v>526</v>
      </c>
      <c r="H295" s="12">
        <v>1</v>
      </c>
      <c r="I295" s="13" t="str">
        <f>HYPERLINK("http://www.ncbi.nlm.nih.gov/gene/214", "214")</f>
        <v>214</v>
      </c>
      <c r="J295" s="12" t="s">
        <v>12008</v>
      </c>
      <c r="K295" s="12" t="s">
        <v>12009</v>
      </c>
      <c r="L295" s="13" t="str">
        <f>HYPERLINK("http://asia.ensembl.org/Homo_sapiens/Gene/Summary?g=ENSG00000170017", "ENSG00000170017")</f>
        <v>ENSG00000170017</v>
      </c>
      <c r="M295" s="12" t="s">
        <v>12010</v>
      </c>
      <c r="N295" s="12" t="s">
        <v>12011</v>
      </c>
    </row>
    <row r="296" spans="1:14">
      <c r="A296" s="12" t="s">
        <v>10757</v>
      </c>
      <c r="B296" s="8">
        <v>6275.3511074159796</v>
      </c>
      <c r="C296" s="12">
        <v>1908.32916382651</v>
      </c>
      <c r="D296" s="8">
        <v>1.7173861401103001</v>
      </c>
      <c r="E296" s="12">
        <v>1.6072522104442499E-3</v>
      </c>
      <c r="F296" s="8" t="s">
        <v>8996</v>
      </c>
      <c r="G296" s="12" t="s">
        <v>8997</v>
      </c>
      <c r="H296" s="12">
        <v>1</v>
      </c>
      <c r="I296" s="13" t="str">
        <f>HYPERLINK("http://www.ncbi.nlm.nih.gov/gene/8754", "8754")</f>
        <v>8754</v>
      </c>
      <c r="J296" s="12" t="s">
        <v>15826</v>
      </c>
      <c r="K296" s="12" t="s">
        <v>15827</v>
      </c>
      <c r="L296" s="13" t="str">
        <f>HYPERLINK("http://asia.ensembl.org/Homo_sapiens/Gene/Summary?g=ENSG00000168615", "ENSG00000168615")</f>
        <v>ENSG00000168615</v>
      </c>
      <c r="M296" s="12" t="s">
        <v>15828</v>
      </c>
      <c r="N296" s="12" t="s">
        <v>15829</v>
      </c>
    </row>
    <row r="297" spans="1:14">
      <c r="A297" s="12" t="s">
        <v>10563</v>
      </c>
      <c r="B297" s="8">
        <v>433.74743539240399</v>
      </c>
      <c r="C297" s="12">
        <v>132.04244187526999</v>
      </c>
      <c r="D297" s="8">
        <v>1.7158535036928499</v>
      </c>
      <c r="E297" s="12">
        <v>1.55218093806503E-3</v>
      </c>
      <c r="F297" s="8" t="s">
        <v>2036</v>
      </c>
      <c r="G297" s="12" t="s">
        <v>2037</v>
      </c>
      <c r="H297" s="12">
        <v>1</v>
      </c>
      <c r="I297" s="13" t="str">
        <f>HYPERLINK("http://www.ncbi.nlm.nih.gov/gene/153443", "153443")</f>
        <v>153443</v>
      </c>
      <c r="J297" s="13" t="str">
        <f>HYPERLINK("http://www.ncbi.nlm.nih.gov/nuccore/NM_152546", "NM_152546")</f>
        <v>NM_152546</v>
      </c>
      <c r="K297" s="12" t="s">
        <v>2038</v>
      </c>
      <c r="L297" s="13" t="str">
        <f>HYPERLINK("http://asia.ensembl.org/Homo_sapiens/Gene/Summary?g=ENSG00000151304", "ENSG00000151304")</f>
        <v>ENSG00000151304</v>
      </c>
      <c r="M297" s="12" t="s">
        <v>15567</v>
      </c>
      <c r="N297" s="12" t="s">
        <v>2039</v>
      </c>
    </row>
    <row r="298" spans="1:14">
      <c r="A298" s="12" t="s">
        <v>6384</v>
      </c>
      <c r="B298" s="8">
        <v>247.801040631755</v>
      </c>
      <c r="C298" s="12">
        <v>75.538517112423506</v>
      </c>
      <c r="D298" s="8">
        <v>1.7138978782430601</v>
      </c>
      <c r="E298" s="12">
        <v>8.6235659874528293E-3</v>
      </c>
      <c r="F298" s="8" t="s">
        <v>6385</v>
      </c>
      <c r="G298" s="12" t="s">
        <v>14154</v>
      </c>
      <c r="H298" s="12">
        <v>1</v>
      </c>
      <c r="I298" s="13" t="str">
        <f>HYPERLINK("http://www.ncbi.nlm.nih.gov/gene/4671", "4671")</f>
        <v>4671</v>
      </c>
      <c r="J298" s="12" t="s">
        <v>14155</v>
      </c>
      <c r="K298" s="12" t="s">
        <v>14156</v>
      </c>
      <c r="L298" s="13" t="str">
        <f>HYPERLINK("http://asia.ensembl.org/Homo_sapiens/Gene/Summary?g=ENSG00000278613", "ENSG00000278613")</f>
        <v>ENSG00000278613</v>
      </c>
      <c r="M298" s="12" t="s">
        <v>14157</v>
      </c>
      <c r="N298" s="12" t="s">
        <v>14158</v>
      </c>
    </row>
    <row r="299" spans="1:14">
      <c r="A299" s="12" t="s">
        <v>10074</v>
      </c>
      <c r="B299" s="8">
        <v>280.57513316671401</v>
      </c>
      <c r="C299" s="12">
        <v>85.671367324391895</v>
      </c>
      <c r="D299" s="8">
        <v>1.7115021319886501</v>
      </c>
      <c r="E299" s="12">
        <v>1.5031318210627601E-3</v>
      </c>
      <c r="F299" s="8" t="s">
        <v>1474</v>
      </c>
      <c r="G299" s="12" t="s">
        <v>1475</v>
      </c>
      <c r="H299" s="12">
        <v>1</v>
      </c>
      <c r="I299" s="13" t="str">
        <f>HYPERLINK("http://www.ncbi.nlm.nih.gov/gene/114088", "114088")</f>
        <v>114088</v>
      </c>
      <c r="J299" s="13" t="str">
        <f>HYPERLINK("http://www.ncbi.nlm.nih.gov/nuccore/NM_052978", "NM_052978")</f>
        <v>NM_052978</v>
      </c>
      <c r="K299" s="12" t="s">
        <v>10075</v>
      </c>
      <c r="L299" s="13" t="str">
        <f>HYPERLINK("http://asia.ensembl.org/Homo_sapiens/Gene/Summary?g=ENSG00000100505", "ENSG00000100505")</f>
        <v>ENSG00000100505</v>
      </c>
      <c r="M299" s="12" t="s">
        <v>12334</v>
      </c>
      <c r="N299" s="12" t="s">
        <v>12335</v>
      </c>
    </row>
    <row r="300" spans="1:14">
      <c r="A300" s="12" t="s">
        <v>10756</v>
      </c>
      <c r="B300" s="8">
        <v>553.67240184426601</v>
      </c>
      <c r="C300" s="12">
        <v>169.077244564241</v>
      </c>
      <c r="D300" s="8">
        <v>1.7113501053923399</v>
      </c>
      <c r="E300" s="12">
        <v>4.5104218247779496E-3</v>
      </c>
      <c r="F300" s="8" t="s">
        <v>6036</v>
      </c>
      <c r="G300" s="12" t="s">
        <v>6037</v>
      </c>
      <c r="H300" s="12">
        <v>1</v>
      </c>
      <c r="I300" s="13" t="str">
        <f>HYPERLINK("http://www.ncbi.nlm.nih.gov/gene/5099", "5099")</f>
        <v>5099</v>
      </c>
      <c r="J300" s="12" t="s">
        <v>15824</v>
      </c>
      <c r="K300" s="12" t="s">
        <v>15825</v>
      </c>
      <c r="L300" s="13" t="str">
        <f>HYPERLINK("http://asia.ensembl.org/Homo_sapiens/Gene/Summary?g=ENSG00000169851", "ENSG00000169851")</f>
        <v>ENSG00000169851</v>
      </c>
      <c r="M300" s="12" t="s">
        <v>14018</v>
      </c>
      <c r="N300" s="12" t="s">
        <v>14019</v>
      </c>
    </row>
    <row r="301" spans="1:14">
      <c r="A301" s="12" t="s">
        <v>353</v>
      </c>
      <c r="B301" s="8">
        <v>4735.7481937107796</v>
      </c>
      <c r="C301" s="12">
        <v>1446.43121736744</v>
      </c>
      <c r="D301" s="8">
        <v>1.71109465297934</v>
      </c>
      <c r="E301" s="12">
        <v>1.6918233532005199E-3</v>
      </c>
      <c r="F301" s="8" t="s">
        <v>354</v>
      </c>
      <c r="G301" s="12" t="s">
        <v>355</v>
      </c>
      <c r="H301" s="12">
        <v>1</v>
      </c>
      <c r="I301" s="13" t="str">
        <f>HYPERLINK("http://www.ncbi.nlm.nih.gov/gene/200933", "200933")</f>
        <v>200933</v>
      </c>
      <c r="J301" s="13" t="str">
        <f>HYPERLINK("http://www.ncbi.nlm.nih.gov/nuccore/NM_001105573", "NM_001105573")</f>
        <v>NM_001105573</v>
      </c>
      <c r="K301" s="12" t="s">
        <v>356</v>
      </c>
      <c r="L301" s="13" t="str">
        <f>HYPERLINK("http://asia.ensembl.org/Homo_sapiens/Gene/Summary?g=ENSG00000174013", "ENSG00000174013")</f>
        <v>ENSG00000174013</v>
      </c>
      <c r="M301" s="12" t="s">
        <v>11959</v>
      </c>
      <c r="N301" s="12" t="s">
        <v>11960</v>
      </c>
    </row>
    <row r="302" spans="1:14">
      <c r="A302" s="12" t="s">
        <v>10545</v>
      </c>
      <c r="B302" s="8">
        <v>1576.72956329515</v>
      </c>
      <c r="C302" s="12">
        <v>482.00687931332402</v>
      </c>
      <c r="D302" s="8">
        <v>1.7098095917163501</v>
      </c>
      <c r="E302" s="12">
        <v>1.0580226173906599E-3</v>
      </c>
      <c r="F302" s="8" t="s">
        <v>8877</v>
      </c>
      <c r="G302" s="12" t="s">
        <v>8878</v>
      </c>
      <c r="H302" s="12">
        <v>1</v>
      </c>
      <c r="I302" s="13" t="str">
        <f>HYPERLINK("http://www.ncbi.nlm.nih.gov/gene/64417", "64417")</f>
        <v>64417</v>
      </c>
      <c r="J302" s="13" t="str">
        <f>HYPERLINK("http://www.ncbi.nlm.nih.gov/nuccore/NM_022483", "NM_022483")</f>
        <v>NM_022483</v>
      </c>
      <c r="K302" s="12" t="s">
        <v>8879</v>
      </c>
      <c r="L302" s="13" t="str">
        <f>HYPERLINK("http://asia.ensembl.org/Homo_sapiens/Gene/Summary?g=ENSG00000151881", "ENSG00000151881")</f>
        <v>ENSG00000151881</v>
      </c>
      <c r="M302" s="12" t="s">
        <v>15548</v>
      </c>
      <c r="N302" s="12" t="s">
        <v>15549</v>
      </c>
    </row>
    <row r="303" spans="1:14">
      <c r="A303" s="12" t="s">
        <v>7519</v>
      </c>
      <c r="B303" s="8">
        <v>14786.753005410699</v>
      </c>
      <c r="C303" s="12">
        <v>4530.54435889262</v>
      </c>
      <c r="D303" s="8">
        <v>1.7065489785290799</v>
      </c>
      <c r="E303" s="12">
        <v>5.82622104826107E-3</v>
      </c>
      <c r="F303" s="8" t="s">
        <v>7520</v>
      </c>
      <c r="G303" s="12" t="s">
        <v>7521</v>
      </c>
      <c r="H303" s="12">
        <v>1</v>
      </c>
      <c r="I303" s="13" t="str">
        <f>HYPERLINK("http://www.ncbi.nlm.nih.gov/gene/55754", "55754")</f>
        <v>55754</v>
      </c>
      <c r="J303" s="12" t="s">
        <v>14463</v>
      </c>
      <c r="K303" s="12" t="s">
        <v>14464</v>
      </c>
      <c r="L303" s="13" t="str">
        <f>HYPERLINK("http://asia.ensembl.org/Homo_sapiens/Gene/Summary?g=ENSG00000112697", "ENSG00000112697")</f>
        <v>ENSG00000112697</v>
      </c>
      <c r="M303" s="12" t="s">
        <v>14465</v>
      </c>
      <c r="N303" s="12" t="s">
        <v>14466</v>
      </c>
    </row>
    <row r="304" spans="1:14">
      <c r="A304" s="12" t="s">
        <v>3242</v>
      </c>
      <c r="B304" s="8">
        <v>320.08597814239602</v>
      </c>
      <c r="C304" s="12">
        <v>98.413283590343895</v>
      </c>
      <c r="D304" s="8">
        <v>1.7015345134400099</v>
      </c>
      <c r="E304" s="12">
        <v>6.3759541892411996E-3</v>
      </c>
      <c r="F304" s="8" t="s">
        <v>3243</v>
      </c>
      <c r="G304" s="12" t="s">
        <v>12924</v>
      </c>
      <c r="H304" s="12">
        <v>1</v>
      </c>
      <c r="I304" s="13" t="str">
        <f>HYPERLINK("http://www.ncbi.nlm.nih.gov/gene/5530", "5530")</f>
        <v>5530</v>
      </c>
      <c r="J304" s="12" t="s">
        <v>12925</v>
      </c>
      <c r="K304" s="12" t="s">
        <v>12926</v>
      </c>
      <c r="L304" s="13" t="str">
        <f>HYPERLINK("http://asia.ensembl.org/Homo_sapiens/Gene/Summary?g=ENSG00000138814", "ENSG00000138814")</f>
        <v>ENSG00000138814</v>
      </c>
      <c r="M304" s="12" t="s">
        <v>12927</v>
      </c>
      <c r="N304" s="12" t="s">
        <v>12928</v>
      </c>
    </row>
    <row r="305" spans="1:14">
      <c r="A305" s="12" t="s">
        <v>8510</v>
      </c>
      <c r="B305" s="8">
        <v>551.79533335539497</v>
      </c>
      <c r="C305" s="12">
        <v>169.86246154053299</v>
      </c>
      <c r="D305" s="8">
        <v>1.6997661937163999</v>
      </c>
      <c r="E305" s="12">
        <v>1.0348397928841499E-3</v>
      </c>
      <c r="F305" s="8" t="s">
        <v>8511</v>
      </c>
      <c r="G305" s="12" t="s">
        <v>8512</v>
      </c>
      <c r="H305" s="12">
        <v>1</v>
      </c>
      <c r="I305" s="13" t="str">
        <f>HYPERLINK("http://www.ncbi.nlm.nih.gov/gene/127253", "127253")</f>
        <v>127253</v>
      </c>
      <c r="J305" s="12" t="s">
        <v>14770</v>
      </c>
      <c r="K305" s="12" t="s">
        <v>14771</v>
      </c>
      <c r="L305" s="13" t="str">
        <f>HYPERLINK("http://asia.ensembl.org/Homo_sapiens/Gene/Summary?g=ENSG00000162623", "ENSG00000162623")</f>
        <v>ENSG00000162623</v>
      </c>
      <c r="M305" s="12" t="s">
        <v>14772</v>
      </c>
      <c r="N305" s="12" t="s">
        <v>14773</v>
      </c>
    </row>
    <row r="306" spans="1:14">
      <c r="A306" s="12" t="s">
        <v>9538</v>
      </c>
      <c r="B306" s="8">
        <v>6343.7197953453997</v>
      </c>
      <c r="C306" s="12">
        <v>1953.7966504967601</v>
      </c>
      <c r="D306" s="8">
        <v>1.6990487273892201</v>
      </c>
      <c r="E306" s="12">
        <v>4.0031405273511702E-3</v>
      </c>
      <c r="F306" s="8" t="s">
        <v>9539</v>
      </c>
      <c r="G306" s="12" t="s">
        <v>9540</v>
      </c>
      <c r="H306" s="12">
        <v>1</v>
      </c>
      <c r="I306" s="13" t="str">
        <f>HYPERLINK("http://www.ncbi.nlm.nih.gov/gene/64839", "64839")</f>
        <v>64839</v>
      </c>
      <c r="J306" s="13" t="str">
        <f>HYPERLINK("http://www.ncbi.nlm.nih.gov/nuccore/NM_001163315", "NM_001163315")</f>
        <v>NM_001163315</v>
      </c>
      <c r="K306" s="12" t="s">
        <v>9541</v>
      </c>
      <c r="L306" s="13" t="str">
        <f>HYPERLINK("http://asia.ensembl.org/Homo_sapiens/Gene/Summary?g=ENSG00000145743", "ENSG00000145743")</f>
        <v>ENSG00000145743</v>
      </c>
      <c r="M306" s="12" t="s">
        <v>15075</v>
      </c>
      <c r="N306" s="12" t="s">
        <v>15076</v>
      </c>
    </row>
    <row r="307" spans="1:14">
      <c r="A307" s="12" t="s">
        <v>3833</v>
      </c>
      <c r="B307" s="8">
        <v>253.68537839490401</v>
      </c>
      <c r="C307" s="12">
        <v>78.276191182955202</v>
      </c>
      <c r="D307" s="8">
        <v>1.69639490638769</v>
      </c>
      <c r="E307" s="12">
        <v>4.4549401664568103E-3</v>
      </c>
      <c r="F307" s="8" t="s">
        <v>3834</v>
      </c>
      <c r="G307" s="12" t="s">
        <v>3835</v>
      </c>
      <c r="H307" s="12">
        <v>1</v>
      </c>
      <c r="I307" s="13" t="str">
        <f>HYPERLINK("http://www.ncbi.nlm.nih.gov/gene/51569", "51569")</f>
        <v>51569</v>
      </c>
      <c r="J307" s="13" t="str">
        <f>HYPERLINK("http://www.ncbi.nlm.nih.gov/nuccore/NM_016617", "NM_016617")</f>
        <v>NM_016617</v>
      </c>
      <c r="K307" s="12" t="s">
        <v>3836</v>
      </c>
      <c r="L307" s="13" t="str">
        <f>HYPERLINK("http://asia.ensembl.org/Homo_sapiens/Gene/Summary?g=ENSG00000120686", "ENSG00000120686")</f>
        <v>ENSG00000120686</v>
      </c>
      <c r="M307" s="12" t="s">
        <v>13104</v>
      </c>
      <c r="N307" s="12" t="s">
        <v>13105</v>
      </c>
    </row>
    <row r="308" spans="1:14">
      <c r="A308" s="12" t="s">
        <v>1354</v>
      </c>
      <c r="B308" s="8">
        <v>25115.221912307399</v>
      </c>
      <c r="C308" s="12">
        <v>7796.7229153042999</v>
      </c>
      <c r="D308" s="8">
        <v>1.6876222532082501</v>
      </c>
      <c r="E308" s="12">
        <v>2.9937621114620402E-3</v>
      </c>
      <c r="F308" s="8" t="s">
        <v>1171</v>
      </c>
      <c r="G308" s="12" t="s">
        <v>1172</v>
      </c>
      <c r="H308" s="12">
        <v>1</v>
      </c>
      <c r="I308" s="13" t="str">
        <f>HYPERLINK("http://www.ncbi.nlm.nih.gov/gene/4651", "4651")</f>
        <v>4651</v>
      </c>
      <c r="J308" s="13" t="str">
        <f>HYPERLINK("http://www.ncbi.nlm.nih.gov/nuccore/NM_012334", "NM_012334")</f>
        <v>NM_012334</v>
      </c>
      <c r="K308" s="12" t="s">
        <v>1173</v>
      </c>
      <c r="L308" s="13" t="str">
        <f>HYPERLINK("http://asia.ensembl.org/Homo_sapiens/Gene/Summary?g=ENSG00000145555", "ENSG00000145555")</f>
        <v>ENSG00000145555</v>
      </c>
      <c r="M308" s="12" t="s">
        <v>12255</v>
      </c>
      <c r="N308" s="12" t="s">
        <v>12256</v>
      </c>
    </row>
    <row r="309" spans="1:14">
      <c r="A309" s="12" t="s">
        <v>10549</v>
      </c>
      <c r="B309" s="8">
        <v>1443.6431927324099</v>
      </c>
      <c r="C309" s="12">
        <v>448.46004014761502</v>
      </c>
      <c r="D309" s="8">
        <v>1.68666286813806</v>
      </c>
      <c r="E309" s="12">
        <v>4.4206385232314899E-4</v>
      </c>
      <c r="F309" s="8" t="s">
        <v>7820</v>
      </c>
      <c r="G309" s="12" t="s">
        <v>7821</v>
      </c>
      <c r="H309" s="12">
        <v>1</v>
      </c>
      <c r="I309" s="13" t="str">
        <f>HYPERLINK("http://www.ncbi.nlm.nih.gov/gene/26135", "26135")</f>
        <v>26135</v>
      </c>
      <c r="J309" s="12" t="s">
        <v>15556</v>
      </c>
      <c r="K309" s="12" t="s">
        <v>15557</v>
      </c>
      <c r="L309" s="13" t="str">
        <f>HYPERLINK("http://asia.ensembl.org/Homo_sapiens/Gene/Summary?g=ENSG00000142864", "ENSG00000142864")</f>
        <v>ENSG00000142864</v>
      </c>
      <c r="M309" s="12" t="s">
        <v>15558</v>
      </c>
      <c r="N309" s="12" t="s">
        <v>15559</v>
      </c>
    </row>
    <row r="310" spans="1:14">
      <c r="A310" s="12" t="s">
        <v>381</v>
      </c>
      <c r="B310" s="8">
        <v>5788.71285043833</v>
      </c>
      <c r="C310" s="12">
        <v>1804.74244279442</v>
      </c>
      <c r="D310" s="8">
        <v>1.68144963047408</v>
      </c>
      <c r="E310" s="12">
        <v>3.6240744451425401E-3</v>
      </c>
      <c r="F310" s="8" t="s">
        <v>382</v>
      </c>
      <c r="G310" s="12" t="s">
        <v>383</v>
      </c>
      <c r="H310" s="12">
        <v>1</v>
      </c>
      <c r="I310" s="13" t="str">
        <f>HYPERLINK("http://www.ncbi.nlm.nih.gov/gene/2289", "2289")</f>
        <v>2289</v>
      </c>
      <c r="J310" s="12" t="s">
        <v>11965</v>
      </c>
      <c r="K310" s="12" t="s">
        <v>11966</v>
      </c>
      <c r="L310" s="13" t="str">
        <f>HYPERLINK("http://asia.ensembl.org/Homo_sapiens/Gene/Summary?g=ENSG00000096060", "ENSG00000096060")</f>
        <v>ENSG00000096060</v>
      </c>
      <c r="M310" s="12" t="s">
        <v>11967</v>
      </c>
      <c r="N310" s="12" t="s">
        <v>11968</v>
      </c>
    </row>
    <row r="311" spans="1:14">
      <c r="A311" s="12" t="s">
        <v>5668</v>
      </c>
      <c r="B311" s="8">
        <v>1110.9762938701199</v>
      </c>
      <c r="C311" s="12">
        <v>346.77549633198998</v>
      </c>
      <c r="D311" s="8">
        <v>1.6797541683611901</v>
      </c>
      <c r="E311" s="12">
        <v>5.5974663303701405E-4</v>
      </c>
      <c r="F311" s="8" t="s">
        <v>5669</v>
      </c>
      <c r="G311" s="12" t="s">
        <v>13864</v>
      </c>
      <c r="H311" s="12">
        <v>1</v>
      </c>
      <c r="I311" s="13" t="str">
        <f>HYPERLINK("http://www.ncbi.nlm.nih.gov/gene/22931", "22931")</f>
        <v>22931</v>
      </c>
      <c r="J311" s="12" t="s">
        <v>13865</v>
      </c>
      <c r="K311" s="12" t="s">
        <v>13866</v>
      </c>
      <c r="L311" s="13" t="str">
        <f>HYPERLINK("http://asia.ensembl.org/Homo_sapiens/Gene/Summary?g=ENSG00000099246", "ENSG00000099246")</f>
        <v>ENSG00000099246</v>
      </c>
      <c r="M311" s="12" t="s">
        <v>13867</v>
      </c>
      <c r="N311" s="12" t="s">
        <v>13868</v>
      </c>
    </row>
    <row r="312" spans="1:14">
      <c r="A312" s="12" t="s">
        <v>10682</v>
      </c>
      <c r="B312" s="8">
        <v>9321.4886653403591</v>
      </c>
      <c r="C312" s="12">
        <v>2909.6975619725099</v>
      </c>
      <c r="D312" s="8">
        <v>1.6796911701408199</v>
      </c>
      <c r="E312" s="12">
        <v>2.2509836631223802E-3</v>
      </c>
      <c r="F312" s="8" t="s">
        <v>1432</v>
      </c>
      <c r="G312" s="12" t="s">
        <v>1433</v>
      </c>
      <c r="H312" s="12">
        <v>1</v>
      </c>
      <c r="I312" s="13" t="str">
        <f>HYPERLINK("http://www.ncbi.nlm.nih.gov/gene/2737", "2737")</f>
        <v>2737</v>
      </c>
      <c r="J312" s="13" t="str">
        <f>HYPERLINK("http://www.ncbi.nlm.nih.gov/nuccore/NM_000168", "NM_000168")</f>
        <v>NM_000168</v>
      </c>
      <c r="K312" s="12" t="s">
        <v>1434</v>
      </c>
      <c r="L312" s="13" t="str">
        <f>HYPERLINK("http://asia.ensembl.org/Homo_sapiens/Gene/Summary?g=ENSG00000106571", "ENSG00000106571")</f>
        <v>ENSG00000106571</v>
      </c>
      <c r="M312" s="12" t="s">
        <v>12332</v>
      </c>
      <c r="N312" s="12" t="s">
        <v>12333</v>
      </c>
    </row>
    <row r="313" spans="1:14">
      <c r="A313" s="12" t="s">
        <v>6071</v>
      </c>
      <c r="B313" s="8">
        <v>244.35755673894801</v>
      </c>
      <c r="C313" s="12">
        <v>76.348437767888001</v>
      </c>
      <c r="D313" s="8">
        <v>1.67832317831675</v>
      </c>
      <c r="E313" s="12">
        <v>7.6839694845037103E-3</v>
      </c>
      <c r="F313" s="8" t="s">
        <v>6072</v>
      </c>
      <c r="G313" s="12" t="s">
        <v>6073</v>
      </c>
      <c r="H313" s="12">
        <v>1</v>
      </c>
      <c r="I313" s="13" t="str">
        <f>HYPERLINK("http://www.ncbi.nlm.nih.gov/gene/800", "800")</f>
        <v>800</v>
      </c>
      <c r="J313" s="12" t="s">
        <v>14024</v>
      </c>
      <c r="K313" s="12" t="s">
        <v>14025</v>
      </c>
      <c r="L313" s="13" t="str">
        <f>HYPERLINK("http://asia.ensembl.org/Homo_sapiens/Gene/Summary?g=ENSG00000122786", "ENSG00000122786")</f>
        <v>ENSG00000122786</v>
      </c>
      <c r="M313" s="12" t="s">
        <v>14026</v>
      </c>
      <c r="N313" s="12" t="s">
        <v>14027</v>
      </c>
    </row>
    <row r="314" spans="1:14">
      <c r="A314" s="12" t="s">
        <v>530</v>
      </c>
      <c r="B314" s="8">
        <v>1120.5127170631499</v>
      </c>
      <c r="C314" s="12">
        <v>350.23743161498999</v>
      </c>
      <c r="D314" s="8">
        <v>1.6777538374430201</v>
      </c>
      <c r="E314" s="12">
        <v>5.3327264015171801E-3</v>
      </c>
      <c r="F314" s="8" t="s">
        <v>531</v>
      </c>
      <c r="G314" s="12" t="s">
        <v>532</v>
      </c>
      <c r="H314" s="12">
        <v>1</v>
      </c>
      <c r="I314" s="13" t="str">
        <f>HYPERLINK("http://www.ncbi.nlm.nih.gov/gene/9790", "9790")</f>
        <v>9790</v>
      </c>
      <c r="J314" s="13" t="str">
        <f>HYPERLINK("http://www.ncbi.nlm.nih.gov/nuccore/NM_014753", "NM_014753")</f>
        <v>NM_014753</v>
      </c>
      <c r="K314" s="12" t="s">
        <v>533</v>
      </c>
      <c r="L314" s="13" t="str">
        <f>HYPERLINK("http://asia.ensembl.org/Homo_sapiens/Gene/Summary?g=ENSG00000165733", "ENSG00000165733")</f>
        <v>ENSG00000165733</v>
      </c>
      <c r="M314" s="12" t="s">
        <v>534</v>
      </c>
      <c r="N314" s="12" t="s">
        <v>535</v>
      </c>
    </row>
    <row r="315" spans="1:14">
      <c r="A315" s="12" t="s">
        <v>3224</v>
      </c>
      <c r="B315" s="8">
        <v>5432.7149011464699</v>
      </c>
      <c r="C315" s="12">
        <v>1700.90852497369</v>
      </c>
      <c r="D315" s="8">
        <v>1.6753677842144299</v>
      </c>
      <c r="E315" s="12">
        <v>3.6275882818212599E-4</v>
      </c>
      <c r="F315" s="8" t="s">
        <v>3225</v>
      </c>
      <c r="G315" s="12" t="s">
        <v>3226</v>
      </c>
      <c r="H315" s="12">
        <v>1</v>
      </c>
      <c r="I315" s="13" t="str">
        <f>HYPERLINK("http://www.ncbi.nlm.nih.gov/gene/10380", "10380")</f>
        <v>10380</v>
      </c>
      <c r="J315" s="13" t="str">
        <f>HYPERLINK("http://www.ncbi.nlm.nih.gov/nuccore/NM_006085", "NM_006085")</f>
        <v>NM_006085</v>
      </c>
      <c r="K315" s="12" t="s">
        <v>3227</v>
      </c>
      <c r="L315" s="13" t="str">
        <f>HYPERLINK("http://asia.ensembl.org/Homo_sapiens/Gene/Summary?g=ENSG00000162813", "ENSG00000162813")</f>
        <v>ENSG00000162813</v>
      </c>
      <c r="M315" s="12" t="s">
        <v>12915</v>
      </c>
      <c r="N315" s="12" t="s">
        <v>12916</v>
      </c>
    </row>
    <row r="316" spans="1:14">
      <c r="A316" s="12" t="s">
        <v>7587</v>
      </c>
      <c r="B316" s="8">
        <v>253.470425295768</v>
      </c>
      <c r="C316" s="12">
        <v>79.386547226660895</v>
      </c>
      <c r="D316" s="8">
        <v>1.6748509692906699</v>
      </c>
      <c r="E316" s="12">
        <v>1.8769580983297E-2</v>
      </c>
      <c r="F316" s="8" t="s">
        <v>7588</v>
      </c>
      <c r="G316" s="12" t="s">
        <v>3743</v>
      </c>
      <c r="H316" s="12">
        <v>1</v>
      </c>
      <c r="I316" s="13" t="str">
        <f>HYPERLINK("http://www.ncbi.nlm.nih.gov/gene/100130890", "100130890")</f>
        <v>100130890</v>
      </c>
      <c r="J316" s="13" t="str">
        <f>HYPERLINK("http://www.ncbi.nlm.nih.gov/nuccore/NM_001195131", "NM_001195131")</f>
        <v>NM_001195131</v>
      </c>
      <c r="K316" s="12" t="s">
        <v>7589</v>
      </c>
      <c r="L316" s="12" t="s">
        <v>38</v>
      </c>
      <c r="M316" s="12" t="s">
        <v>38</v>
      </c>
      <c r="N316" s="12" t="s">
        <v>38</v>
      </c>
    </row>
    <row r="317" spans="1:14">
      <c r="A317" s="12" t="s">
        <v>8463</v>
      </c>
      <c r="B317" s="8">
        <v>753.402811424535</v>
      </c>
      <c r="C317" s="12">
        <v>236.319850525704</v>
      </c>
      <c r="D317" s="8">
        <v>1.67268059820825</v>
      </c>
      <c r="E317" s="12">
        <v>1.8833960367306299E-3</v>
      </c>
      <c r="F317" s="8" t="s">
        <v>8464</v>
      </c>
      <c r="G317" s="12" t="s">
        <v>8465</v>
      </c>
      <c r="H317" s="12">
        <v>1</v>
      </c>
      <c r="I317" s="13" t="str">
        <f>HYPERLINK("http://www.ncbi.nlm.nih.gov/gene/4528", "4528")</f>
        <v>4528</v>
      </c>
      <c r="J317" s="12" t="s">
        <v>14748</v>
      </c>
      <c r="K317" s="12" t="s">
        <v>14749</v>
      </c>
      <c r="L317" s="13" t="str">
        <f>HYPERLINK("http://asia.ensembl.org/Homo_sapiens/Gene/Summary?g=ENSG00000085760", "ENSG00000085760")</f>
        <v>ENSG00000085760</v>
      </c>
      <c r="M317" s="12" t="s">
        <v>14750</v>
      </c>
      <c r="N317" s="12" t="s">
        <v>14751</v>
      </c>
    </row>
    <row r="318" spans="1:14">
      <c r="A318" s="12" t="s">
        <v>10578</v>
      </c>
      <c r="B318" s="8">
        <v>188.39103059513701</v>
      </c>
      <c r="C318" s="12">
        <v>59.251145877742402</v>
      </c>
      <c r="D318" s="8">
        <v>1.66881531889299</v>
      </c>
      <c r="E318" s="12">
        <v>8.7823536833157006E-3</v>
      </c>
      <c r="F318" s="8" t="s">
        <v>4649</v>
      </c>
      <c r="G318" s="12" t="s">
        <v>15593</v>
      </c>
      <c r="H318" s="12">
        <v>1</v>
      </c>
      <c r="I318" s="13" t="str">
        <f>HYPERLINK("http://www.ncbi.nlm.nih.gov/gene/3676", "3676")</f>
        <v>3676</v>
      </c>
      <c r="J318" s="13" t="str">
        <f>HYPERLINK("http://www.ncbi.nlm.nih.gov/nuccore/NM_000885", "NM_000885")</f>
        <v>NM_000885</v>
      </c>
      <c r="K318" s="12" t="s">
        <v>4650</v>
      </c>
      <c r="L318" s="13" t="str">
        <f>HYPERLINK("http://asia.ensembl.org/Homo_sapiens/Gene/Summary?g=ENSG00000115232", "ENSG00000115232")</f>
        <v>ENSG00000115232</v>
      </c>
      <c r="M318" s="12" t="s">
        <v>15594</v>
      </c>
      <c r="N318" s="12" t="s">
        <v>15595</v>
      </c>
    </row>
    <row r="319" spans="1:14">
      <c r="A319" s="12" t="s">
        <v>3865</v>
      </c>
      <c r="B319" s="8">
        <v>1346.97647755816</v>
      </c>
      <c r="C319" s="12">
        <v>424.92590666829398</v>
      </c>
      <c r="D319" s="8">
        <v>1.66444144808287</v>
      </c>
      <c r="E319" s="12">
        <v>9.3543651265699996E-4</v>
      </c>
      <c r="F319" s="8" t="s">
        <v>3866</v>
      </c>
      <c r="G319" s="12" t="s">
        <v>13109</v>
      </c>
      <c r="H319" s="12">
        <v>1</v>
      </c>
      <c r="I319" s="13" t="str">
        <f>HYPERLINK("http://www.ncbi.nlm.nih.gov/gene/374986", "374986")</f>
        <v>374986</v>
      </c>
      <c r="J319" s="12" t="s">
        <v>13110</v>
      </c>
      <c r="K319" s="12" t="s">
        <v>13111</v>
      </c>
      <c r="L319" s="13" t="str">
        <f>HYPERLINK("http://asia.ensembl.org/Homo_sapiens/Gene/Summary?g=ENSG00000180488", "ENSG00000180488")</f>
        <v>ENSG00000180488</v>
      </c>
      <c r="M319" s="12" t="s">
        <v>13112</v>
      </c>
      <c r="N319" s="12" t="s">
        <v>13113</v>
      </c>
    </row>
    <row r="320" spans="1:14">
      <c r="A320" s="12" t="s">
        <v>4850</v>
      </c>
      <c r="B320" s="8">
        <v>3424.05444137011</v>
      </c>
      <c r="C320" s="12">
        <v>1081.06236933832</v>
      </c>
      <c r="D320" s="8">
        <v>1.66325588195678</v>
      </c>
      <c r="E320" s="12">
        <v>6.3269380875661098E-4</v>
      </c>
      <c r="F320" s="8" t="s">
        <v>4851</v>
      </c>
      <c r="G320" s="12" t="s">
        <v>4852</v>
      </c>
      <c r="H320" s="12">
        <v>1</v>
      </c>
      <c r="I320" s="13" t="str">
        <f>HYPERLINK("http://www.ncbi.nlm.nih.gov/gene/55751", "55751")</f>
        <v>55751</v>
      </c>
      <c r="J320" s="13" t="str">
        <f>HYPERLINK("http://www.ncbi.nlm.nih.gov/nuccore/NM_018241", "NM_018241")</f>
        <v>NM_018241</v>
      </c>
      <c r="K320" s="12" t="s">
        <v>4853</v>
      </c>
      <c r="L320" s="13" t="str">
        <f>HYPERLINK("http://asia.ensembl.org/Homo_sapiens/Gene/Summary?g=ENSG00000164168", "ENSG00000164168")</f>
        <v>ENSG00000164168</v>
      </c>
      <c r="M320" s="12" t="s">
        <v>13429</v>
      </c>
      <c r="N320" s="12" t="s">
        <v>13430</v>
      </c>
    </row>
    <row r="321" spans="1:14">
      <c r="A321" s="12" t="s">
        <v>776</v>
      </c>
      <c r="B321" s="8">
        <v>1932.0761107989399</v>
      </c>
      <c r="C321" s="12">
        <v>610.06860122633498</v>
      </c>
      <c r="D321" s="8">
        <v>1.66310854213943</v>
      </c>
      <c r="E321" s="12">
        <v>5.6802788895405501E-3</v>
      </c>
      <c r="F321" s="8" t="s">
        <v>777</v>
      </c>
      <c r="G321" s="12" t="s">
        <v>778</v>
      </c>
      <c r="H321" s="12">
        <v>1</v>
      </c>
      <c r="I321" s="13" t="str">
        <f>HYPERLINK("http://www.ncbi.nlm.nih.gov/gene/55619", "55619")</f>
        <v>55619</v>
      </c>
      <c r="J321" s="13" t="str">
        <f>HYPERLINK("http://www.ncbi.nlm.nih.gov/nuccore/NM_014689", "NM_014689")</f>
        <v>NM_014689</v>
      </c>
      <c r="K321" s="12" t="s">
        <v>779</v>
      </c>
      <c r="L321" s="13" t="str">
        <f>HYPERLINK("http://asia.ensembl.org/Homo_sapiens/Gene/Summary?g=ENSG00000135905", "ENSG00000135905")</f>
        <v>ENSG00000135905</v>
      </c>
      <c r="M321" s="12" t="s">
        <v>12103</v>
      </c>
      <c r="N321" s="12" t="s">
        <v>12104</v>
      </c>
    </row>
    <row r="322" spans="1:14">
      <c r="A322" s="12" t="s">
        <v>10338</v>
      </c>
      <c r="B322" s="8">
        <v>484.91142959197498</v>
      </c>
      <c r="C322" s="12">
        <v>153.36933092493399</v>
      </c>
      <c r="D322" s="8">
        <v>1.6607112413979599</v>
      </c>
      <c r="E322" s="12">
        <v>3.7368152912458099E-5</v>
      </c>
      <c r="F322" s="8" t="s">
        <v>8816</v>
      </c>
      <c r="G322" s="12" t="s">
        <v>14905</v>
      </c>
      <c r="H322" s="12">
        <v>1</v>
      </c>
      <c r="I322" s="13" t="str">
        <f>HYPERLINK("http://www.ncbi.nlm.nih.gov/gene/94239", "94239")</f>
        <v>94239</v>
      </c>
      <c r="J322" s="12" t="s">
        <v>15408</v>
      </c>
      <c r="K322" s="12" t="s">
        <v>15409</v>
      </c>
      <c r="L322" s="13" t="str">
        <f>HYPERLINK("http://asia.ensembl.org/Homo_sapiens/Gene/Summary?g=ENSG00000105968", "ENSG00000105968")</f>
        <v>ENSG00000105968</v>
      </c>
      <c r="M322" s="12" t="s">
        <v>14906</v>
      </c>
      <c r="N322" s="12" t="s">
        <v>14907</v>
      </c>
    </row>
    <row r="323" spans="1:14">
      <c r="A323" s="12" t="s">
        <v>3532</v>
      </c>
      <c r="B323" s="8">
        <v>2705.1996177484698</v>
      </c>
      <c r="C323" s="12">
        <v>856.31732559965201</v>
      </c>
      <c r="D323" s="8">
        <v>1.65951763454639</v>
      </c>
      <c r="E323" s="12">
        <v>2.1263622971367398E-3</v>
      </c>
      <c r="F323" s="8" t="s">
        <v>3533</v>
      </c>
      <c r="G323" s="12" t="s">
        <v>3534</v>
      </c>
      <c r="H323" s="12">
        <v>1</v>
      </c>
      <c r="I323" s="13" t="str">
        <f>HYPERLINK("http://www.ncbi.nlm.nih.gov/gene/29967", "29967")</f>
        <v>29967</v>
      </c>
      <c r="J323" s="12" t="s">
        <v>13037</v>
      </c>
      <c r="K323" s="12" t="s">
        <v>13038</v>
      </c>
      <c r="L323" s="13" t="str">
        <f>HYPERLINK("http://asia.ensembl.org/Homo_sapiens/Gene/Summary?g=ENSG00000147650", "ENSG00000147650")</f>
        <v>ENSG00000147650</v>
      </c>
      <c r="M323" s="12" t="s">
        <v>13039</v>
      </c>
      <c r="N323" s="12" t="s">
        <v>13040</v>
      </c>
    </row>
    <row r="324" spans="1:14">
      <c r="A324" s="12" t="s">
        <v>9843</v>
      </c>
      <c r="B324" s="8">
        <v>2856.16261062276</v>
      </c>
      <c r="C324" s="12">
        <v>905.95902363703306</v>
      </c>
      <c r="D324" s="8">
        <v>1.6565604150004001</v>
      </c>
      <c r="E324" s="12">
        <v>6.8985834131861899E-3</v>
      </c>
      <c r="F324" s="8" t="s">
        <v>9844</v>
      </c>
      <c r="G324" s="12" t="s">
        <v>9845</v>
      </c>
      <c r="H324" s="12">
        <v>1</v>
      </c>
      <c r="I324" s="13" t="str">
        <f>HYPERLINK("http://www.ncbi.nlm.nih.gov/gene/9282", "9282")</f>
        <v>9282</v>
      </c>
      <c r="J324" s="13" t="str">
        <f>HYPERLINK("http://www.ncbi.nlm.nih.gov/nuccore/NM_004229", "NM_004229")</f>
        <v>NM_004229</v>
      </c>
      <c r="K324" s="12" t="s">
        <v>9846</v>
      </c>
      <c r="L324" s="13" t="str">
        <f>HYPERLINK("http://asia.ensembl.org/Homo_sapiens/Gene/Summary?g=ENSG00000180182", "ENSG00000180182")</f>
        <v>ENSG00000180182</v>
      </c>
      <c r="M324" s="12" t="s">
        <v>15198</v>
      </c>
      <c r="N324" s="12" t="s">
        <v>15199</v>
      </c>
    </row>
    <row r="325" spans="1:14">
      <c r="A325" s="12" t="s">
        <v>4414</v>
      </c>
      <c r="B325" s="8">
        <v>1359.0303840148899</v>
      </c>
      <c r="C325" s="12">
        <v>432.067229913375</v>
      </c>
      <c r="D325" s="8">
        <v>1.65324999182285</v>
      </c>
      <c r="E325" s="12">
        <v>3.1805096158621401E-3</v>
      </c>
      <c r="F325" s="8" t="s">
        <v>4415</v>
      </c>
      <c r="G325" s="12" t="s">
        <v>4416</v>
      </c>
      <c r="H325" s="12">
        <v>1</v>
      </c>
      <c r="I325" s="13" t="str">
        <f>HYPERLINK("http://www.ncbi.nlm.nih.gov/gene/8301", "8301")</f>
        <v>8301</v>
      </c>
      <c r="J325" s="12" t="s">
        <v>13229</v>
      </c>
      <c r="K325" s="12" t="s">
        <v>13230</v>
      </c>
      <c r="L325" s="13" t="str">
        <f>HYPERLINK("http://asia.ensembl.org/Homo_sapiens/Gene/Summary?g=ENSG00000073921", "ENSG00000073921")</f>
        <v>ENSG00000073921</v>
      </c>
      <c r="M325" s="12" t="s">
        <v>13231</v>
      </c>
      <c r="N325" s="12" t="s">
        <v>13232</v>
      </c>
    </row>
    <row r="326" spans="1:14">
      <c r="A326" s="12" t="s">
        <v>2364</v>
      </c>
      <c r="B326" s="8">
        <v>269.02623986923402</v>
      </c>
      <c r="C326" s="12">
        <v>85.671367324391895</v>
      </c>
      <c r="D326" s="8">
        <v>1.65086187566939</v>
      </c>
      <c r="E326" s="12">
        <v>3.3696694696331098E-3</v>
      </c>
      <c r="F326" s="8" t="s">
        <v>2365</v>
      </c>
      <c r="G326" s="12" t="s">
        <v>12615</v>
      </c>
      <c r="H326" s="12">
        <v>1</v>
      </c>
      <c r="I326" s="13" t="str">
        <f>HYPERLINK("http://www.ncbi.nlm.nih.gov/gene/54959", "54959")</f>
        <v>54959</v>
      </c>
      <c r="J326" s="13" t="str">
        <f>HYPERLINK("http://www.ncbi.nlm.nih.gov/nuccore/NM_017855", "NM_017855")</f>
        <v>NM_017855</v>
      </c>
      <c r="K326" s="12" t="s">
        <v>2366</v>
      </c>
      <c r="L326" s="13" t="str">
        <f>HYPERLINK("http://asia.ensembl.org/Homo_sapiens/Gene/Summary?g=ENSG00000109205", "ENSG00000109205")</f>
        <v>ENSG00000109205</v>
      </c>
      <c r="M326" s="12" t="s">
        <v>12616</v>
      </c>
      <c r="N326" s="12" t="s">
        <v>12617</v>
      </c>
    </row>
    <row r="327" spans="1:14">
      <c r="A327" s="12" t="s">
        <v>11670</v>
      </c>
      <c r="B327" s="8">
        <v>6234.5103789109398</v>
      </c>
      <c r="C327" s="12">
        <v>1985.40853476693</v>
      </c>
      <c r="D327" s="8">
        <v>1.6508403646024901</v>
      </c>
      <c r="E327" s="12">
        <v>7.8576099831268904E-5</v>
      </c>
      <c r="F327" s="8" t="s">
        <v>38</v>
      </c>
      <c r="G327" s="12" t="s">
        <v>38</v>
      </c>
      <c r="H327" s="12">
        <v>1</v>
      </c>
      <c r="I327" s="12" t="s">
        <v>38</v>
      </c>
      <c r="J327" s="12" t="s">
        <v>38</v>
      </c>
      <c r="K327" s="12" t="s">
        <v>38</v>
      </c>
      <c r="L327" s="12" t="s">
        <v>11671</v>
      </c>
      <c r="M327" s="12" t="s">
        <v>11672</v>
      </c>
      <c r="N327" s="12" t="s">
        <v>11673</v>
      </c>
    </row>
    <row r="328" spans="1:14">
      <c r="A328" s="12" t="s">
        <v>10491</v>
      </c>
      <c r="B328" s="8">
        <v>631.38429316803899</v>
      </c>
      <c r="C328" s="12">
        <v>201.62386483069901</v>
      </c>
      <c r="D328" s="8">
        <v>1.64685196059785</v>
      </c>
      <c r="E328" s="12">
        <v>2.7363932902373898E-3</v>
      </c>
      <c r="F328" s="8" t="s">
        <v>10492</v>
      </c>
      <c r="G328" s="12" t="s">
        <v>10493</v>
      </c>
      <c r="H328" s="12">
        <v>1</v>
      </c>
      <c r="I328" s="13" t="str">
        <f>HYPERLINK("http://www.ncbi.nlm.nih.gov/gene/25893", "25893")</f>
        <v>25893</v>
      </c>
      <c r="J328" s="13" t="str">
        <f>HYPERLINK("http://www.ncbi.nlm.nih.gov/nuccore/NM_015431", "NM_015431")</f>
        <v>NM_015431</v>
      </c>
      <c r="K328" s="12" t="s">
        <v>10494</v>
      </c>
      <c r="L328" s="13" t="str">
        <f>HYPERLINK("http://asia.ensembl.org/Homo_sapiens/Gene/Summary?g=ENSG00000162722", "ENSG00000162722")</f>
        <v>ENSG00000162722</v>
      </c>
      <c r="M328" s="12" t="s">
        <v>10495</v>
      </c>
      <c r="N328" s="12" t="s">
        <v>10496</v>
      </c>
    </row>
    <row r="329" spans="1:14">
      <c r="A329" s="12" t="s">
        <v>824</v>
      </c>
      <c r="B329" s="8">
        <v>417.04445909236199</v>
      </c>
      <c r="C329" s="12">
        <v>133.20190468426901</v>
      </c>
      <c r="D329" s="8">
        <v>1.6465864786272599</v>
      </c>
      <c r="E329" s="12">
        <v>3.8453300925227001E-3</v>
      </c>
      <c r="F329" s="8" t="s">
        <v>825</v>
      </c>
      <c r="G329" s="12" t="s">
        <v>826</v>
      </c>
      <c r="H329" s="12">
        <v>1</v>
      </c>
      <c r="I329" s="13" t="str">
        <f>HYPERLINK("http://www.ncbi.nlm.nih.gov/gene/167410", "167410")</f>
        <v>167410</v>
      </c>
      <c r="J329" s="13" t="str">
        <f>HYPERLINK("http://www.ncbi.nlm.nih.gov/nuccore/NM_153234", "NM_153234")</f>
        <v>NM_153234</v>
      </c>
      <c r="K329" s="12" t="s">
        <v>827</v>
      </c>
      <c r="L329" s="13" t="str">
        <f>HYPERLINK("http://asia.ensembl.org/Homo_sapiens/Gene/Summary?g=ENSG00000145721", "ENSG00000145721")</f>
        <v>ENSG00000145721</v>
      </c>
      <c r="M329" s="12" t="s">
        <v>12127</v>
      </c>
      <c r="N329" s="12" t="s">
        <v>12128</v>
      </c>
    </row>
    <row r="330" spans="1:14">
      <c r="A330" s="12" t="s">
        <v>5611</v>
      </c>
      <c r="B330" s="8">
        <v>2824.0624960545501</v>
      </c>
      <c r="C330" s="12">
        <v>903.03687445782896</v>
      </c>
      <c r="D330" s="8">
        <v>1.64491521078311</v>
      </c>
      <c r="E330" s="12">
        <v>1.33640378195854E-4</v>
      </c>
      <c r="F330" s="8" t="s">
        <v>5612</v>
      </c>
      <c r="G330" s="12" t="s">
        <v>5613</v>
      </c>
      <c r="H330" s="12">
        <v>1</v>
      </c>
      <c r="I330" s="13" t="str">
        <f>HYPERLINK("http://www.ncbi.nlm.nih.gov/gene/51366", "51366")</f>
        <v>51366</v>
      </c>
      <c r="J330" s="13" t="str">
        <f>HYPERLINK("http://www.ncbi.nlm.nih.gov/nuccore/NM_015902", "NM_015902")</f>
        <v>NM_015902</v>
      </c>
      <c r="K330" s="12" t="s">
        <v>5614</v>
      </c>
      <c r="L330" s="13" t="str">
        <f>HYPERLINK("http://asia.ensembl.org/Homo_sapiens/Gene/Summary?g=ENSG00000104517", "ENSG00000104517")</f>
        <v>ENSG00000104517</v>
      </c>
      <c r="M330" s="12" t="s">
        <v>13841</v>
      </c>
      <c r="N330" s="12" t="s">
        <v>13842</v>
      </c>
    </row>
    <row r="331" spans="1:14">
      <c r="A331" s="12" t="s">
        <v>5276</v>
      </c>
      <c r="B331" s="8">
        <v>2559.2606392319999</v>
      </c>
      <c r="C331" s="12">
        <v>818.72411025255701</v>
      </c>
      <c r="D331" s="8">
        <v>1.6442777948754399</v>
      </c>
      <c r="E331" s="12">
        <v>5.85563622399741E-3</v>
      </c>
      <c r="F331" s="8" t="s">
        <v>5277</v>
      </c>
      <c r="G331" s="12" t="s">
        <v>5278</v>
      </c>
      <c r="H331" s="12">
        <v>1</v>
      </c>
      <c r="I331" s="13" t="str">
        <f>HYPERLINK("http://www.ncbi.nlm.nih.gov/gene/6926", "6926")</f>
        <v>6926</v>
      </c>
      <c r="J331" s="12" t="s">
        <v>13654</v>
      </c>
      <c r="K331" s="12" t="s">
        <v>13655</v>
      </c>
      <c r="L331" s="13" t="str">
        <f>HYPERLINK("http://asia.ensembl.org/Homo_sapiens/Gene/Summary?g=ENSG00000135111", "ENSG00000135111")</f>
        <v>ENSG00000135111</v>
      </c>
      <c r="M331" s="12" t="s">
        <v>13656</v>
      </c>
      <c r="N331" s="12" t="s">
        <v>13657</v>
      </c>
    </row>
    <row r="332" spans="1:14">
      <c r="A332" s="12" t="s">
        <v>5312</v>
      </c>
      <c r="B332" s="8">
        <v>498.55018778783699</v>
      </c>
      <c r="C332" s="12">
        <v>159.53117841688501</v>
      </c>
      <c r="D332" s="8">
        <v>1.6439003357589299</v>
      </c>
      <c r="E332" s="12">
        <v>3.2056624737020802E-4</v>
      </c>
      <c r="F332" s="8" t="s">
        <v>5313</v>
      </c>
      <c r="G332" s="12" t="s">
        <v>5314</v>
      </c>
      <c r="H332" s="12">
        <v>1</v>
      </c>
      <c r="I332" s="13" t="str">
        <f>HYPERLINK("http://www.ncbi.nlm.nih.gov/gene/79572", "79572")</f>
        <v>79572</v>
      </c>
      <c r="J332" s="13" t="str">
        <f>HYPERLINK("http://www.ncbi.nlm.nih.gov/nuccore/NM_024524", "NM_024524")</f>
        <v>NM_024524</v>
      </c>
      <c r="K332" s="12" t="s">
        <v>5315</v>
      </c>
      <c r="L332" s="13" t="str">
        <f>HYPERLINK("http://asia.ensembl.org/Homo_sapiens/Gene/Summary?g=ENSG00000133657", "ENSG00000133657")</f>
        <v>ENSG00000133657</v>
      </c>
      <c r="M332" s="12" t="s">
        <v>13684</v>
      </c>
      <c r="N332" s="12" t="s">
        <v>13685</v>
      </c>
    </row>
    <row r="333" spans="1:14">
      <c r="A333" s="12" t="s">
        <v>148</v>
      </c>
      <c r="B333" s="8">
        <v>240.72955180899501</v>
      </c>
      <c r="C333" s="12">
        <v>77.211159363590198</v>
      </c>
      <c r="D333" s="8">
        <v>1.64053197598462</v>
      </c>
      <c r="E333" s="12">
        <v>9.0613058704258097E-5</v>
      </c>
      <c r="F333" s="8" t="s">
        <v>149</v>
      </c>
      <c r="G333" s="12" t="s">
        <v>150</v>
      </c>
      <c r="H333" s="12">
        <v>1</v>
      </c>
      <c r="I333" s="13" t="str">
        <f>HYPERLINK("http://www.ncbi.nlm.nih.gov/gene/5732", "5732")</f>
        <v>5732</v>
      </c>
      <c r="J333" s="13" t="str">
        <f>HYPERLINK("http://www.ncbi.nlm.nih.gov/nuccore/NM_000956", "NM_000956")</f>
        <v>NM_000956</v>
      </c>
      <c r="K333" s="12" t="s">
        <v>151</v>
      </c>
      <c r="L333" s="13" t="str">
        <f>HYPERLINK("http://asia.ensembl.org/Homo_sapiens/Gene/Summary?g=ENSG00000125384", "ENSG00000125384")</f>
        <v>ENSG00000125384</v>
      </c>
      <c r="M333" s="12" t="s">
        <v>11874</v>
      </c>
      <c r="N333" s="12" t="s">
        <v>11875</v>
      </c>
    </row>
    <row r="334" spans="1:14">
      <c r="A334" s="12" t="s">
        <v>1635</v>
      </c>
      <c r="B334" s="8">
        <v>3800.0786114883499</v>
      </c>
      <c r="C334" s="12">
        <v>1219.4399758730101</v>
      </c>
      <c r="D334" s="8">
        <v>1.6398105170791999</v>
      </c>
      <c r="E334" s="12">
        <v>6.0472548150593899E-3</v>
      </c>
      <c r="F334" s="8" t="s">
        <v>1636</v>
      </c>
      <c r="G334" s="12" t="s">
        <v>1637</v>
      </c>
      <c r="H334" s="12">
        <v>1</v>
      </c>
      <c r="I334" s="13" t="str">
        <f>HYPERLINK("http://www.ncbi.nlm.nih.gov/gene/27241", "27241")</f>
        <v>27241</v>
      </c>
      <c r="J334" s="12" t="s">
        <v>12379</v>
      </c>
      <c r="K334" s="12" t="s">
        <v>12380</v>
      </c>
      <c r="L334" s="13" t="str">
        <f>HYPERLINK("http://asia.ensembl.org/Homo_sapiens/Gene/Summary?g=ENSG00000122507", "ENSG00000122507")</f>
        <v>ENSG00000122507</v>
      </c>
      <c r="M334" s="12" t="s">
        <v>12381</v>
      </c>
      <c r="N334" s="12" t="s">
        <v>12382</v>
      </c>
    </row>
    <row r="335" spans="1:14">
      <c r="A335" s="12" t="s">
        <v>2818</v>
      </c>
      <c r="B335" s="8">
        <v>1469.1804833358101</v>
      </c>
      <c r="C335" s="12">
        <v>472.12888524254902</v>
      </c>
      <c r="D335" s="8">
        <v>1.63775898042768</v>
      </c>
      <c r="E335" s="12">
        <v>5.2870706121626804E-3</v>
      </c>
      <c r="F335" s="8" t="s">
        <v>2819</v>
      </c>
      <c r="G335" s="12" t="s">
        <v>2820</v>
      </c>
      <c r="H335" s="12">
        <v>1</v>
      </c>
      <c r="I335" s="13" t="str">
        <f>HYPERLINK("http://www.ncbi.nlm.nih.gov/gene/128710", "128710")</f>
        <v>128710</v>
      </c>
      <c r="J335" s="13" t="str">
        <f>HYPERLINK("http://www.ncbi.nlm.nih.gov/nuccore/NM_001009608", "NM_001009608")</f>
        <v>NM_001009608</v>
      </c>
      <c r="K335" s="12" t="s">
        <v>2821</v>
      </c>
      <c r="L335" s="13" t="str">
        <f>HYPERLINK("http://asia.ensembl.org/Homo_sapiens/Gene/Summary?g=ENSG00000149346", "ENSG00000149346")</f>
        <v>ENSG00000149346</v>
      </c>
      <c r="M335" s="12" t="s">
        <v>12789</v>
      </c>
      <c r="N335" s="12" t="s">
        <v>12790</v>
      </c>
    </row>
    <row r="336" spans="1:14">
      <c r="A336" s="12" t="s">
        <v>8185</v>
      </c>
      <c r="B336" s="8">
        <v>2863.1369100053998</v>
      </c>
      <c r="C336" s="12">
        <v>921.438878131622</v>
      </c>
      <c r="D336" s="8">
        <v>1.6356362832893101</v>
      </c>
      <c r="E336" s="12">
        <v>1.3181720647241801E-3</v>
      </c>
      <c r="F336" s="8" t="s">
        <v>8186</v>
      </c>
      <c r="G336" s="12" t="s">
        <v>8187</v>
      </c>
      <c r="H336" s="12">
        <v>1</v>
      </c>
      <c r="I336" s="13" t="str">
        <f>HYPERLINK("http://www.ncbi.nlm.nih.gov/gene/121536", "121536")</f>
        <v>121536</v>
      </c>
      <c r="J336" s="12" t="s">
        <v>14693</v>
      </c>
      <c r="K336" s="12" t="s">
        <v>14694</v>
      </c>
      <c r="L336" s="13" t="str">
        <f>HYPERLINK("http://asia.ensembl.org/Homo_sapiens/Gene/Summary?g=ENSG00000139154", "ENSG00000139154")</f>
        <v>ENSG00000139154</v>
      </c>
      <c r="M336" s="12" t="s">
        <v>14695</v>
      </c>
      <c r="N336" s="12" t="s">
        <v>14696</v>
      </c>
    </row>
    <row r="337" spans="1:14">
      <c r="A337" s="12" t="s">
        <v>1282</v>
      </c>
      <c r="B337" s="8">
        <v>1202.8281833666899</v>
      </c>
      <c r="C337" s="12">
        <v>387.11141114370798</v>
      </c>
      <c r="D337" s="8">
        <v>1.6356098364248099</v>
      </c>
      <c r="E337" s="12">
        <v>2.00358134987076E-4</v>
      </c>
      <c r="F337" s="8" t="s">
        <v>1283</v>
      </c>
      <c r="G337" s="12" t="s">
        <v>12291</v>
      </c>
      <c r="H337" s="12">
        <v>1</v>
      </c>
      <c r="I337" s="13" t="str">
        <f>HYPERLINK("http://www.ncbi.nlm.nih.gov/gene/3750", "3750")</f>
        <v>3750</v>
      </c>
      <c r="J337" s="13" t="str">
        <f>HYPERLINK("http://www.ncbi.nlm.nih.gov/nuccore/NM_004979", "NM_004979")</f>
        <v>NM_004979</v>
      </c>
      <c r="K337" s="12" t="s">
        <v>1284</v>
      </c>
      <c r="L337" s="13" t="str">
        <f>HYPERLINK("http://asia.ensembl.org/Homo_sapiens/Gene/Summary?g=ENSG00000102057", "ENSG00000102057")</f>
        <v>ENSG00000102057</v>
      </c>
      <c r="M337" s="12" t="s">
        <v>12292</v>
      </c>
      <c r="N337" s="12" t="s">
        <v>12293</v>
      </c>
    </row>
    <row r="338" spans="1:14">
      <c r="A338" s="12" t="s">
        <v>687</v>
      </c>
      <c r="B338" s="8">
        <v>2776.6638019321499</v>
      </c>
      <c r="C338" s="12">
        <v>894.74936166738701</v>
      </c>
      <c r="D338" s="8">
        <v>1.63379699190941</v>
      </c>
      <c r="E338" s="12">
        <v>2.27432113865976E-3</v>
      </c>
      <c r="F338" s="8" t="s">
        <v>688</v>
      </c>
      <c r="G338" s="12" t="s">
        <v>689</v>
      </c>
      <c r="H338" s="12">
        <v>1</v>
      </c>
      <c r="I338" s="13" t="str">
        <f>HYPERLINK("http://www.ncbi.nlm.nih.gov/gene/23301", "23301")</f>
        <v>23301</v>
      </c>
      <c r="J338" s="12" t="s">
        <v>12068</v>
      </c>
      <c r="K338" s="12" t="s">
        <v>12069</v>
      </c>
      <c r="L338" s="13" t="str">
        <f>HYPERLINK("http://asia.ensembl.org/Homo_sapiens/Gene/Summary?g=ENSG00000115504", "ENSG00000115504")</f>
        <v>ENSG00000115504</v>
      </c>
      <c r="M338" s="12" t="s">
        <v>12070</v>
      </c>
      <c r="N338" s="12" t="s">
        <v>12071</v>
      </c>
    </row>
    <row r="339" spans="1:14">
      <c r="A339" s="12" t="s">
        <v>3572</v>
      </c>
      <c r="B339" s="8">
        <v>9609.3156919980192</v>
      </c>
      <c r="C339" s="12">
        <v>3098.3532300142501</v>
      </c>
      <c r="D339" s="8">
        <v>1.6329320670429901</v>
      </c>
      <c r="E339" s="12">
        <v>1.60741222133175E-4</v>
      </c>
      <c r="F339" s="8" t="s">
        <v>3573</v>
      </c>
      <c r="G339" s="12" t="s">
        <v>3574</v>
      </c>
      <c r="H339" s="12">
        <v>1</v>
      </c>
      <c r="I339" s="13" t="str">
        <f>HYPERLINK("http://www.ncbi.nlm.nih.gov/gene/22930", "22930")</f>
        <v>22930</v>
      </c>
      <c r="J339" s="12" t="s">
        <v>13047</v>
      </c>
      <c r="K339" s="12" t="s">
        <v>13048</v>
      </c>
      <c r="L339" s="13" t="str">
        <f>HYPERLINK("http://asia.ensembl.org/Homo_sapiens/Gene/Summary?g=ENSG00000115839", "ENSG00000115839")</f>
        <v>ENSG00000115839</v>
      </c>
      <c r="M339" s="12" t="s">
        <v>13049</v>
      </c>
      <c r="N339" s="12" t="s">
        <v>13050</v>
      </c>
    </row>
    <row r="340" spans="1:14">
      <c r="A340" s="12" t="s">
        <v>4877</v>
      </c>
      <c r="B340" s="8">
        <v>1771.8322097113801</v>
      </c>
      <c r="C340" s="12">
        <v>571.658131162573</v>
      </c>
      <c r="D340" s="8">
        <v>1.6320174541851</v>
      </c>
      <c r="E340" s="12">
        <v>1.72855116556058E-3</v>
      </c>
      <c r="F340" s="8" t="s">
        <v>4878</v>
      </c>
      <c r="G340" s="12" t="s">
        <v>4879</v>
      </c>
      <c r="H340" s="12">
        <v>1</v>
      </c>
      <c r="I340" s="13" t="str">
        <f>HYPERLINK("http://www.ncbi.nlm.nih.gov/gene/9169", "9169")</f>
        <v>9169</v>
      </c>
      <c r="J340" s="13" t="str">
        <f>HYPERLINK("http://www.ncbi.nlm.nih.gov/nuccore/NM_004719", "NM_004719")</f>
        <v>NM_004719</v>
      </c>
      <c r="K340" s="12" t="s">
        <v>4880</v>
      </c>
      <c r="L340" s="13" t="str">
        <f>HYPERLINK("http://asia.ensembl.org/Homo_sapiens/Gene/Summary?g=ENSG00000139218", "ENSG00000139218")</f>
        <v>ENSG00000139218</v>
      </c>
      <c r="M340" s="12" t="s">
        <v>13446</v>
      </c>
      <c r="N340" s="12" t="s">
        <v>13447</v>
      </c>
    </row>
    <row r="341" spans="1:14">
      <c r="A341" s="12" t="s">
        <v>8677</v>
      </c>
      <c r="B341" s="8">
        <v>1089.9197994086901</v>
      </c>
      <c r="C341" s="12">
        <v>351.73879186195597</v>
      </c>
      <c r="D341" s="8">
        <v>1.63164562181938</v>
      </c>
      <c r="E341" s="12">
        <v>8.6085817455041702E-4</v>
      </c>
      <c r="F341" s="8" t="s">
        <v>8678</v>
      </c>
      <c r="G341" s="12" t="s">
        <v>8679</v>
      </c>
      <c r="H341" s="12">
        <v>1</v>
      </c>
      <c r="I341" s="13" t="str">
        <f>HYPERLINK("http://www.ncbi.nlm.nih.gov/gene/3146", "3146")</f>
        <v>3146</v>
      </c>
      <c r="J341" s="13" t="str">
        <f>HYPERLINK("http://www.ncbi.nlm.nih.gov/nuccore/NM_002128", "NM_002128")</f>
        <v>NM_002128</v>
      </c>
      <c r="K341" s="12" t="s">
        <v>8680</v>
      </c>
      <c r="L341" s="13" t="str">
        <f>HYPERLINK("http://asia.ensembl.org/Homo_sapiens/Gene/Summary?g=ENSG00000189403", "ENSG00000189403")</f>
        <v>ENSG00000189403</v>
      </c>
      <c r="M341" s="12" t="s">
        <v>14800</v>
      </c>
      <c r="N341" s="12" t="s">
        <v>14801</v>
      </c>
    </row>
    <row r="342" spans="1:14">
      <c r="A342" s="12" t="s">
        <v>8799</v>
      </c>
      <c r="B342" s="8">
        <v>638.50603840925805</v>
      </c>
      <c r="C342" s="12">
        <v>206.35550341011299</v>
      </c>
      <c r="D342" s="8">
        <v>1.62956834879237</v>
      </c>
      <c r="E342" s="12">
        <v>2.2730464331801301E-3</v>
      </c>
      <c r="F342" s="8" t="s">
        <v>38</v>
      </c>
      <c r="G342" s="12" t="s">
        <v>38</v>
      </c>
      <c r="H342" s="12">
        <v>1</v>
      </c>
      <c r="I342" s="12" t="s">
        <v>38</v>
      </c>
      <c r="J342" s="12" t="s">
        <v>38</v>
      </c>
      <c r="K342" s="12" t="s">
        <v>38</v>
      </c>
      <c r="L342" s="13" t="str">
        <f>HYPERLINK("http://asia.ensembl.org/Homo_sapiens/Gene/Summary?g=ENSG00000107643", "ENSG00000107643")</f>
        <v>ENSG00000107643</v>
      </c>
      <c r="M342" s="12" t="s">
        <v>8800</v>
      </c>
      <c r="N342" s="12" t="s">
        <v>14889</v>
      </c>
    </row>
    <row r="343" spans="1:14">
      <c r="A343" s="12" t="s">
        <v>10293</v>
      </c>
      <c r="B343" s="8">
        <v>652.55190944108199</v>
      </c>
      <c r="C343" s="12">
        <v>210.94741171222</v>
      </c>
      <c r="D343" s="8">
        <v>1.6292092842365899</v>
      </c>
      <c r="E343" s="12">
        <v>1.15526295358878E-3</v>
      </c>
      <c r="F343" s="8" t="s">
        <v>10294</v>
      </c>
      <c r="G343" s="12" t="s">
        <v>10295</v>
      </c>
      <c r="H343" s="12">
        <v>1</v>
      </c>
      <c r="I343" s="13" t="str">
        <f>HYPERLINK("http://www.ncbi.nlm.nih.gov/gene/9856", "9856")</f>
        <v>9856</v>
      </c>
      <c r="J343" s="12" t="s">
        <v>15371</v>
      </c>
      <c r="K343" s="12" t="s">
        <v>15372</v>
      </c>
      <c r="L343" s="13" t="str">
        <f>HYPERLINK("http://asia.ensembl.org/Homo_sapiens/Gene/Summary?g=ENSG00000137261", "ENSG00000137261")</f>
        <v>ENSG00000137261</v>
      </c>
      <c r="M343" s="12" t="s">
        <v>15373</v>
      </c>
      <c r="N343" s="12" t="s">
        <v>15374</v>
      </c>
    </row>
    <row r="344" spans="1:14">
      <c r="A344" s="12" t="s">
        <v>4446</v>
      </c>
      <c r="B344" s="8">
        <v>1213.5959251803899</v>
      </c>
      <c r="C344" s="12">
        <v>392.738612180487</v>
      </c>
      <c r="D344" s="8">
        <v>1.62764679769274</v>
      </c>
      <c r="E344" s="12">
        <v>4.5728539943539799E-4</v>
      </c>
      <c r="F344" s="8" t="s">
        <v>4447</v>
      </c>
      <c r="G344" s="12" t="s">
        <v>4448</v>
      </c>
      <c r="H344" s="12">
        <v>1</v>
      </c>
      <c r="I344" s="13" t="str">
        <f>HYPERLINK("http://www.ncbi.nlm.nih.gov/gene/25962", "25962")</f>
        <v>25962</v>
      </c>
      <c r="J344" s="13" t="str">
        <f>HYPERLINK("http://www.ncbi.nlm.nih.gov/nuccore/NM_015496", "NM_015496")</f>
        <v>NM_015496</v>
      </c>
      <c r="K344" s="12" t="s">
        <v>4449</v>
      </c>
      <c r="L344" s="13" t="str">
        <f>HYPERLINK("http://asia.ensembl.org/Homo_sapiens/Gene/Summary?g=ENSG00000164944", "ENSG00000164944")</f>
        <v>ENSG00000164944</v>
      </c>
      <c r="M344" s="12" t="s">
        <v>13238</v>
      </c>
      <c r="N344" s="12" t="s">
        <v>13239</v>
      </c>
    </row>
    <row r="345" spans="1:14">
      <c r="A345" s="12" t="s">
        <v>2898</v>
      </c>
      <c r="B345" s="8">
        <v>1287.6946929236501</v>
      </c>
      <c r="C345" s="12">
        <v>417.554864136248</v>
      </c>
      <c r="D345" s="8">
        <v>1.6247529005868899</v>
      </c>
      <c r="E345" s="12">
        <v>9.8018694239806697E-5</v>
      </c>
      <c r="F345" s="8" t="s">
        <v>2899</v>
      </c>
      <c r="G345" s="12" t="s">
        <v>12830</v>
      </c>
      <c r="H345" s="12">
        <v>1</v>
      </c>
      <c r="I345" s="13" t="str">
        <f>HYPERLINK("http://www.ncbi.nlm.nih.gov/gene/1594", "1594")</f>
        <v>1594</v>
      </c>
      <c r="J345" s="13" t="str">
        <f>HYPERLINK("http://www.ncbi.nlm.nih.gov/nuccore/NM_000785", "NM_000785")</f>
        <v>NM_000785</v>
      </c>
      <c r="K345" s="12" t="s">
        <v>2900</v>
      </c>
      <c r="L345" s="13" t="str">
        <f>HYPERLINK("http://asia.ensembl.org/Homo_sapiens/Gene/Summary?g=ENSG00000111012", "ENSG00000111012")</f>
        <v>ENSG00000111012</v>
      </c>
      <c r="M345" s="12" t="s">
        <v>12831</v>
      </c>
      <c r="N345" s="12" t="s">
        <v>12832</v>
      </c>
    </row>
    <row r="346" spans="1:14">
      <c r="A346" s="12" t="s">
        <v>11712</v>
      </c>
      <c r="B346" s="8">
        <v>7094.7435056015602</v>
      </c>
      <c r="C346" s="12">
        <v>2302.4110091325902</v>
      </c>
      <c r="D346" s="8">
        <v>1.62360513230335</v>
      </c>
      <c r="E346" s="12">
        <v>1.22007775637194E-2</v>
      </c>
      <c r="F346" s="8" t="s">
        <v>38</v>
      </c>
      <c r="G346" s="12" t="s">
        <v>38</v>
      </c>
      <c r="H346" s="12">
        <v>1</v>
      </c>
      <c r="I346" s="12" t="s">
        <v>38</v>
      </c>
      <c r="J346" s="12" t="s">
        <v>38</v>
      </c>
      <c r="K346" s="12" t="s">
        <v>38</v>
      </c>
      <c r="L346" s="13" t="str">
        <f>HYPERLINK("http://asia.ensembl.org/Homo_sapiens/Gene/Summary?g=ENSG00000204183", "ENSG00000204183")</f>
        <v>ENSG00000204183</v>
      </c>
      <c r="M346" s="12" t="s">
        <v>11713</v>
      </c>
      <c r="N346" s="12" t="s">
        <v>11714</v>
      </c>
    </row>
    <row r="347" spans="1:14">
      <c r="A347" s="12" t="s">
        <v>4968</v>
      </c>
      <c r="B347" s="8">
        <v>154.05601115563999</v>
      </c>
      <c r="C347" s="12">
        <v>50</v>
      </c>
      <c r="D347" s="8">
        <v>1.6234549764067201</v>
      </c>
      <c r="E347" s="12">
        <v>1.6810046059613998E-5</v>
      </c>
      <c r="F347" s="8" t="s">
        <v>4969</v>
      </c>
      <c r="G347" s="12" t="s">
        <v>13513</v>
      </c>
      <c r="H347" s="12">
        <v>1</v>
      </c>
      <c r="I347" s="13" t="str">
        <f>HYPERLINK("http://www.ncbi.nlm.nih.gov/gene/4121", "4121")</f>
        <v>4121</v>
      </c>
      <c r="J347" s="13" t="str">
        <f>HYPERLINK("http://www.ncbi.nlm.nih.gov/nuccore/NM_005907", "NM_005907")</f>
        <v>NM_005907</v>
      </c>
      <c r="K347" s="12" t="s">
        <v>4970</v>
      </c>
      <c r="L347" s="13" t="str">
        <f>HYPERLINK("http://asia.ensembl.org/Homo_sapiens/Gene/Summary?g=ENSG00000111885", "ENSG00000111885")</f>
        <v>ENSG00000111885</v>
      </c>
      <c r="M347" s="12" t="s">
        <v>4971</v>
      </c>
      <c r="N347" s="12" t="s">
        <v>4972</v>
      </c>
    </row>
    <row r="348" spans="1:14">
      <c r="A348" s="12" t="s">
        <v>11478</v>
      </c>
      <c r="B348" s="8">
        <v>1461.2884329144599</v>
      </c>
      <c r="C348" s="12">
        <v>474.67372939615598</v>
      </c>
      <c r="D348" s="8">
        <v>1.62223285736917</v>
      </c>
      <c r="E348" s="12">
        <v>2.2087993891528402E-3</v>
      </c>
      <c r="F348" s="8" t="s">
        <v>38</v>
      </c>
      <c r="G348" s="12" t="s">
        <v>38</v>
      </c>
      <c r="H348" s="12">
        <v>1</v>
      </c>
      <c r="I348" s="12" t="s">
        <v>38</v>
      </c>
      <c r="J348" s="12" t="s">
        <v>38</v>
      </c>
      <c r="K348" s="12" t="s">
        <v>38</v>
      </c>
      <c r="L348" s="13" t="str">
        <f>HYPERLINK("http://asia.ensembl.org/Homo_sapiens/Gene/Summary?g=ENSG00000188529", "ENSG00000188529")</f>
        <v>ENSG00000188529</v>
      </c>
      <c r="M348" s="12" t="s">
        <v>11479</v>
      </c>
      <c r="N348" s="12" t="s">
        <v>11901</v>
      </c>
    </row>
    <row r="349" spans="1:14">
      <c r="A349" s="12" t="s">
        <v>3815</v>
      </c>
      <c r="B349" s="8">
        <v>374.68272033962398</v>
      </c>
      <c r="C349" s="12">
        <v>121.79054493690499</v>
      </c>
      <c r="D349" s="8">
        <v>1.62126730913705</v>
      </c>
      <c r="E349" s="12">
        <v>7.6045815793175497E-3</v>
      </c>
      <c r="F349" s="8" t="s">
        <v>3816</v>
      </c>
      <c r="G349" s="12" t="s">
        <v>3817</v>
      </c>
      <c r="H349" s="12">
        <v>1</v>
      </c>
      <c r="I349" s="13" t="str">
        <f>HYPERLINK("http://www.ncbi.nlm.nih.gov/gene/144406", "144406")</f>
        <v>144406</v>
      </c>
      <c r="J349" s="12" t="s">
        <v>13096</v>
      </c>
      <c r="K349" s="12" t="s">
        <v>13097</v>
      </c>
      <c r="L349" s="13" t="str">
        <f>HYPERLINK("http://asia.ensembl.org/Homo_sapiens/Gene/Summary?g=ENSG00000158023", "ENSG00000158023")</f>
        <v>ENSG00000158023</v>
      </c>
      <c r="M349" s="12" t="s">
        <v>13098</v>
      </c>
      <c r="N349" s="12" t="s">
        <v>13099</v>
      </c>
    </row>
    <row r="350" spans="1:14">
      <c r="A350" s="12" t="s">
        <v>10651</v>
      </c>
      <c r="B350" s="8">
        <v>1382.0684410700601</v>
      </c>
      <c r="C350" s="12">
        <v>449.83606533810701</v>
      </c>
      <c r="D350" s="8">
        <v>1.6193578227607399</v>
      </c>
      <c r="E350" s="12">
        <v>2.720848157091E-3</v>
      </c>
      <c r="F350" s="8" t="s">
        <v>5252</v>
      </c>
      <c r="G350" s="12" t="s">
        <v>5253</v>
      </c>
      <c r="H350" s="12">
        <v>1</v>
      </c>
      <c r="I350" s="13" t="str">
        <f>HYPERLINK("http://www.ncbi.nlm.nih.gov/gene/57448", "57448")</f>
        <v>57448</v>
      </c>
      <c r="J350" s="13" t="str">
        <f>HYPERLINK("http://www.ncbi.nlm.nih.gov/nuccore/NM_016252", "NM_016252")</f>
        <v>NM_016252</v>
      </c>
      <c r="K350" s="12" t="s">
        <v>5254</v>
      </c>
      <c r="L350" s="13" t="str">
        <f>HYPERLINK("http://asia.ensembl.org/Homo_sapiens/Gene/Summary?g=ENSG00000115760", "ENSG00000115760")</f>
        <v>ENSG00000115760</v>
      </c>
      <c r="M350" s="12" t="s">
        <v>13644</v>
      </c>
      <c r="N350" s="12" t="s">
        <v>13645</v>
      </c>
    </row>
    <row r="351" spans="1:14">
      <c r="A351" s="12" t="s">
        <v>10571</v>
      </c>
      <c r="B351" s="8">
        <v>175.25218609687201</v>
      </c>
      <c r="C351" s="12">
        <v>57.0414266077562</v>
      </c>
      <c r="D351" s="8">
        <v>1.61935047134412</v>
      </c>
      <c r="E351" s="12">
        <v>6.1197010793422003E-3</v>
      </c>
      <c r="F351" s="8" t="s">
        <v>6569</v>
      </c>
      <c r="G351" s="12" t="s">
        <v>6570</v>
      </c>
      <c r="H351" s="12">
        <v>1</v>
      </c>
      <c r="I351" s="13" t="str">
        <f>HYPERLINK("http://www.ncbi.nlm.nih.gov/gene/80323", "80323")</f>
        <v>80323</v>
      </c>
      <c r="J351" s="12" t="s">
        <v>15577</v>
      </c>
      <c r="K351" s="12" t="s">
        <v>15578</v>
      </c>
      <c r="L351" s="13" t="str">
        <f>HYPERLINK("http://asia.ensembl.org/Homo_sapiens/Gene/Summary?g=ENSG00000166510", "ENSG00000166510")</f>
        <v>ENSG00000166510</v>
      </c>
      <c r="M351" s="12" t="s">
        <v>15579</v>
      </c>
      <c r="N351" s="12" t="s">
        <v>15580</v>
      </c>
    </row>
    <row r="352" spans="1:14">
      <c r="A352" s="12" t="s">
        <v>235</v>
      </c>
      <c r="B352" s="8">
        <v>2394.6836228175298</v>
      </c>
      <c r="C352" s="12">
        <v>779.497880051631</v>
      </c>
      <c r="D352" s="8">
        <v>1.6192180603142501</v>
      </c>
      <c r="E352" s="12">
        <v>3.3030392520405501E-3</v>
      </c>
      <c r="F352" s="8" t="s">
        <v>236</v>
      </c>
      <c r="G352" s="12" t="s">
        <v>11910</v>
      </c>
      <c r="H352" s="12">
        <v>1</v>
      </c>
      <c r="I352" s="13" t="str">
        <f>HYPERLINK("http://www.ncbi.nlm.nih.gov/gene/23390", "23390")</f>
        <v>23390</v>
      </c>
      <c r="J352" s="13" t="str">
        <f>HYPERLINK("http://www.ncbi.nlm.nih.gov/nuccore/NM_015336", "NM_015336")</f>
        <v>NM_015336</v>
      </c>
      <c r="K352" s="12" t="s">
        <v>237</v>
      </c>
      <c r="L352" s="13" t="str">
        <f>HYPERLINK("http://asia.ensembl.org/Homo_sapiens/Gene/Summary?g=ENSG00000186908", "ENSG00000186908")</f>
        <v>ENSG00000186908</v>
      </c>
      <c r="M352" s="12" t="s">
        <v>11911</v>
      </c>
      <c r="N352" s="12" t="s">
        <v>11912</v>
      </c>
    </row>
    <row r="353" spans="1:14">
      <c r="A353" s="12" t="s">
        <v>6290</v>
      </c>
      <c r="B353" s="8">
        <v>1511.2356369117399</v>
      </c>
      <c r="C353" s="12">
        <v>491.97506348284702</v>
      </c>
      <c r="D353" s="8">
        <v>1.61907153057454</v>
      </c>
      <c r="E353" s="12">
        <v>1.1273849036814399E-2</v>
      </c>
      <c r="F353" s="8" t="s">
        <v>6291</v>
      </c>
      <c r="G353" s="12" t="s">
        <v>6292</v>
      </c>
      <c r="H353" s="12">
        <v>1</v>
      </c>
      <c r="I353" s="13" t="str">
        <f>HYPERLINK("http://www.ncbi.nlm.nih.gov/gene/10432", "10432")</f>
        <v>10432</v>
      </c>
      <c r="J353" s="12" t="s">
        <v>14130</v>
      </c>
      <c r="K353" s="12" t="s">
        <v>14131</v>
      </c>
      <c r="L353" s="13" t="str">
        <f>HYPERLINK("http://asia.ensembl.org/Homo_sapiens/Gene/Summary?g=ENSG00000239306", "ENSG00000239306")</f>
        <v>ENSG00000239306</v>
      </c>
      <c r="M353" s="12" t="s">
        <v>14132</v>
      </c>
      <c r="N353" s="12" t="s">
        <v>14133</v>
      </c>
    </row>
    <row r="354" spans="1:14">
      <c r="A354" s="12" t="s">
        <v>9986</v>
      </c>
      <c r="B354" s="8">
        <v>1518.36279638766</v>
      </c>
      <c r="C354" s="12">
        <v>494.42853258674501</v>
      </c>
      <c r="D354" s="8">
        <v>1.61868264222894</v>
      </c>
      <c r="E354" s="12">
        <v>9.8922628495069797E-4</v>
      </c>
      <c r="F354" s="8" t="s">
        <v>4432</v>
      </c>
      <c r="G354" s="12" t="s">
        <v>4433</v>
      </c>
      <c r="H354" s="12">
        <v>1</v>
      </c>
      <c r="I354" s="13" t="str">
        <f>HYPERLINK("http://www.ncbi.nlm.nih.gov/gene/9801", "9801")</f>
        <v>9801</v>
      </c>
      <c r="J354" s="13" t="str">
        <f>HYPERLINK("http://www.ncbi.nlm.nih.gov/nuccore/NM_014763", "NM_014763")</f>
        <v>NM_014763</v>
      </c>
      <c r="K354" s="12" t="s">
        <v>4434</v>
      </c>
      <c r="L354" s="13" t="str">
        <f>HYPERLINK("http://asia.ensembl.org/Homo_sapiens/Gene/Summary?g=ENSG00000115364", "ENSG00000115364")</f>
        <v>ENSG00000115364</v>
      </c>
      <c r="M354" s="12" t="s">
        <v>15268</v>
      </c>
      <c r="N354" s="12" t="s">
        <v>15269</v>
      </c>
    </row>
    <row r="355" spans="1:14">
      <c r="A355" s="12" t="s">
        <v>2722</v>
      </c>
      <c r="B355" s="8">
        <v>1748.0687617810099</v>
      </c>
      <c r="C355" s="12">
        <v>569.53745107530494</v>
      </c>
      <c r="D355" s="8">
        <v>1.6178993181330701</v>
      </c>
      <c r="E355" s="12">
        <v>1.6818020305561E-3</v>
      </c>
      <c r="F355" s="8" t="s">
        <v>2723</v>
      </c>
      <c r="G355" s="12" t="s">
        <v>12761</v>
      </c>
      <c r="H355" s="12">
        <v>1</v>
      </c>
      <c r="I355" s="13" t="str">
        <f>HYPERLINK("http://www.ncbi.nlm.nih.gov/gene/6617", "6617")</f>
        <v>6617</v>
      </c>
      <c r="J355" s="13" t="str">
        <f>HYPERLINK("http://www.ncbi.nlm.nih.gov/nuccore/NM_003082", "NM_003082")</f>
        <v>NM_003082</v>
      </c>
      <c r="K355" s="12" t="s">
        <v>2724</v>
      </c>
      <c r="L355" s="13" t="str">
        <f>HYPERLINK("http://asia.ensembl.org/Homo_sapiens/Gene/Summary?g=ENSG00000023608", "ENSG00000023608")</f>
        <v>ENSG00000023608</v>
      </c>
      <c r="M355" s="12" t="s">
        <v>2725</v>
      </c>
      <c r="N355" s="12" t="s">
        <v>2726</v>
      </c>
    </row>
    <row r="356" spans="1:14">
      <c r="A356" s="12" t="s">
        <v>1162</v>
      </c>
      <c r="B356" s="8">
        <v>1398.96247643744</v>
      </c>
      <c r="C356" s="12">
        <v>455.97744288209401</v>
      </c>
      <c r="D356" s="8">
        <v>1.6173229050287801</v>
      </c>
      <c r="E356" s="12">
        <v>2.5331205877713201E-3</v>
      </c>
      <c r="F356" s="8" t="s">
        <v>1163</v>
      </c>
      <c r="G356" s="12" t="s">
        <v>1164</v>
      </c>
      <c r="H356" s="12">
        <v>1</v>
      </c>
      <c r="I356" s="13" t="str">
        <f>HYPERLINK("http://www.ncbi.nlm.nih.gov/gene/4437", "4437")</f>
        <v>4437</v>
      </c>
      <c r="J356" s="13" t="str">
        <f>HYPERLINK("http://www.ncbi.nlm.nih.gov/nuccore/NM_002439", "NM_002439")</f>
        <v>NM_002439</v>
      </c>
      <c r="K356" s="12" t="s">
        <v>1165</v>
      </c>
      <c r="L356" s="13" t="str">
        <f>HYPERLINK("http://asia.ensembl.org/Homo_sapiens/Gene/Summary?g=ENSG00000113318", "ENSG00000113318")</f>
        <v>ENSG00000113318</v>
      </c>
      <c r="M356" s="12" t="s">
        <v>12250</v>
      </c>
      <c r="N356" s="12" t="s">
        <v>1166</v>
      </c>
    </row>
    <row r="357" spans="1:14">
      <c r="A357" s="12" t="s">
        <v>4857</v>
      </c>
      <c r="B357" s="8">
        <v>2290.9736546320601</v>
      </c>
      <c r="C357" s="12">
        <v>747.178390548994</v>
      </c>
      <c r="D357" s="8">
        <v>1.6164362322752901</v>
      </c>
      <c r="E357" s="12">
        <v>1.8041991794924999E-3</v>
      </c>
      <c r="F357" s="8" t="s">
        <v>4858</v>
      </c>
      <c r="G357" s="12" t="s">
        <v>4859</v>
      </c>
      <c r="H357" s="12">
        <v>1</v>
      </c>
      <c r="I357" s="13" t="str">
        <f>HYPERLINK("http://www.ncbi.nlm.nih.gov/gene/663", "663")</f>
        <v>663</v>
      </c>
      <c r="J357" s="13" t="str">
        <f>HYPERLINK("http://www.ncbi.nlm.nih.gov/nuccore/NM_004330", "NM_004330")</f>
        <v>NM_004330</v>
      </c>
      <c r="K357" s="12" t="s">
        <v>4860</v>
      </c>
      <c r="L357" s="13" t="str">
        <f>HYPERLINK("http://asia.ensembl.org/Homo_sapiens/Gene/Summary?g=ENSG00000140299", "ENSG00000140299")</f>
        <v>ENSG00000140299</v>
      </c>
      <c r="M357" s="12" t="s">
        <v>13435</v>
      </c>
      <c r="N357" s="12" t="s">
        <v>13436</v>
      </c>
    </row>
    <row r="358" spans="1:14">
      <c r="A358" s="12" t="s">
        <v>8122</v>
      </c>
      <c r="B358" s="8">
        <v>4299.5409737803502</v>
      </c>
      <c r="C358" s="12">
        <v>1403.0648399496699</v>
      </c>
      <c r="D358" s="8">
        <v>1.6156009616073499</v>
      </c>
      <c r="E358" s="12">
        <v>1.0229499901062799E-3</v>
      </c>
      <c r="F358" s="8" t="s">
        <v>8123</v>
      </c>
      <c r="G358" s="12" t="s">
        <v>14678</v>
      </c>
      <c r="H358" s="12">
        <v>1</v>
      </c>
      <c r="I358" s="13" t="str">
        <f>HYPERLINK("http://www.ncbi.nlm.nih.gov/gene/5584", "5584")</f>
        <v>5584</v>
      </c>
      <c r="J358" s="13" t="str">
        <f>HYPERLINK("http://www.ncbi.nlm.nih.gov/nuccore/NM_002740", "NM_002740")</f>
        <v>NM_002740</v>
      </c>
      <c r="K358" s="12" t="s">
        <v>8124</v>
      </c>
      <c r="L358" s="13" t="str">
        <f>HYPERLINK("http://asia.ensembl.org/Homo_sapiens/Gene/Summary?g=ENSG00000163558", "ENSG00000163558")</f>
        <v>ENSG00000163558</v>
      </c>
      <c r="M358" s="12" t="s">
        <v>14679</v>
      </c>
      <c r="N358" s="12" t="s">
        <v>8125</v>
      </c>
    </row>
    <row r="359" spans="1:14">
      <c r="A359" s="12" t="s">
        <v>10311</v>
      </c>
      <c r="B359" s="8">
        <v>771.96797891081997</v>
      </c>
      <c r="C359" s="12">
        <v>252.060335596436</v>
      </c>
      <c r="D359" s="8">
        <v>1.61477189352803</v>
      </c>
      <c r="E359" s="12">
        <v>7.6955596987052005E-4</v>
      </c>
      <c r="F359" s="8" t="s">
        <v>8232</v>
      </c>
      <c r="G359" s="12" t="s">
        <v>14708</v>
      </c>
      <c r="H359" s="12">
        <v>1</v>
      </c>
      <c r="I359" s="13" t="str">
        <f>HYPERLINK("http://www.ncbi.nlm.nih.gov/gene/27160", "27160")</f>
        <v>27160</v>
      </c>
      <c r="J359" s="13" t="str">
        <f>HYPERLINK("http://www.ncbi.nlm.nih.gov/nuccore/NR_002226", "NR_002226")</f>
        <v>NR_002226</v>
      </c>
      <c r="K359" s="12" t="s">
        <v>199</v>
      </c>
      <c r="L359" s="13" t="str">
        <f>HYPERLINK("http://asia.ensembl.org/Homo_sapiens/Gene/Summary?g=ENSG00000243468", "ENSG00000243468")</f>
        <v>ENSG00000243468</v>
      </c>
      <c r="M359" s="12" t="s">
        <v>14709</v>
      </c>
    </row>
    <row r="360" spans="1:14">
      <c r="A360" s="12" t="s">
        <v>5130</v>
      </c>
      <c r="B360" s="8">
        <v>1238.8489428785999</v>
      </c>
      <c r="C360" s="12">
        <v>404.76287014555402</v>
      </c>
      <c r="D360" s="8">
        <v>1.6138514260341399</v>
      </c>
      <c r="E360" s="12">
        <v>6.3294805963365099E-3</v>
      </c>
      <c r="F360" s="8" t="s">
        <v>5131</v>
      </c>
      <c r="G360" s="12" t="s">
        <v>5132</v>
      </c>
      <c r="H360" s="12">
        <v>1</v>
      </c>
      <c r="I360" s="13" t="str">
        <f>HYPERLINK("http://www.ncbi.nlm.nih.gov/gene/64328", "64328")</f>
        <v>64328</v>
      </c>
      <c r="J360" s="13" t="str">
        <f>HYPERLINK("http://www.ncbi.nlm.nih.gov/nuccore/NM_022459", "NM_022459")</f>
        <v>NM_022459</v>
      </c>
      <c r="K360" s="12" t="s">
        <v>5133</v>
      </c>
      <c r="L360" s="13" t="str">
        <f>HYPERLINK("http://asia.ensembl.org/Homo_sapiens/Gene/Summary?g=ENSG00000132953", "ENSG00000132953")</f>
        <v>ENSG00000132953</v>
      </c>
      <c r="M360" s="12" t="s">
        <v>13599</v>
      </c>
      <c r="N360" s="12" t="s">
        <v>13600</v>
      </c>
    </row>
    <row r="361" spans="1:14">
      <c r="A361" s="12" t="s">
        <v>9954</v>
      </c>
      <c r="B361" s="8">
        <v>1784.0743635153999</v>
      </c>
      <c r="C361" s="12">
        <v>583.37365465894698</v>
      </c>
      <c r="D361" s="8">
        <v>1.6126836104562501</v>
      </c>
      <c r="E361" s="12">
        <v>1.59718287844939E-3</v>
      </c>
      <c r="F361" s="8" t="s">
        <v>9955</v>
      </c>
      <c r="G361" s="12" t="s">
        <v>9956</v>
      </c>
      <c r="H361" s="12">
        <v>1</v>
      </c>
      <c r="I361" s="13" t="str">
        <f>HYPERLINK("http://www.ncbi.nlm.nih.gov/gene/4070", "4070")</f>
        <v>4070</v>
      </c>
      <c r="J361" s="13" t="str">
        <f>HYPERLINK("http://www.ncbi.nlm.nih.gov/nuccore/NM_002353", "NM_002353")</f>
        <v>NM_002353</v>
      </c>
      <c r="K361" s="12" t="s">
        <v>9957</v>
      </c>
      <c r="L361" s="13" t="str">
        <f>HYPERLINK("http://asia.ensembl.org/Homo_sapiens/Gene/Summary?g=ENSG00000184292", "ENSG00000184292")</f>
        <v>ENSG00000184292</v>
      </c>
      <c r="M361" s="12" t="s">
        <v>9958</v>
      </c>
      <c r="N361" s="12" t="s">
        <v>9959</v>
      </c>
    </row>
    <row r="362" spans="1:14">
      <c r="A362" s="12" t="s">
        <v>1761</v>
      </c>
      <c r="B362" s="8">
        <v>16880.287066100602</v>
      </c>
      <c r="C362" s="12">
        <v>5521.0722483732598</v>
      </c>
      <c r="D362" s="8">
        <v>1.61231905334585</v>
      </c>
      <c r="E362" s="12">
        <v>5.1530895358628597E-3</v>
      </c>
      <c r="F362" s="8" t="s">
        <v>1762</v>
      </c>
      <c r="G362" s="12" t="s">
        <v>12405</v>
      </c>
      <c r="H362" s="12">
        <v>1</v>
      </c>
      <c r="I362" s="13" t="str">
        <f>HYPERLINK("http://www.ncbi.nlm.nih.gov/gene/11260", "11260")</f>
        <v>11260</v>
      </c>
      <c r="J362" s="13" t="str">
        <f>HYPERLINK("http://www.ncbi.nlm.nih.gov/nuccore/NM_007235", "NM_007235")</f>
        <v>NM_007235</v>
      </c>
      <c r="K362" s="12" t="s">
        <v>1763</v>
      </c>
      <c r="L362" s="13" t="str">
        <f>HYPERLINK("http://asia.ensembl.org/Homo_sapiens/Gene/Summary?g=ENSG00000184575", "ENSG00000184575")</f>
        <v>ENSG00000184575</v>
      </c>
      <c r="M362" s="12" t="s">
        <v>12406</v>
      </c>
      <c r="N362" s="12" t="s">
        <v>12407</v>
      </c>
    </row>
    <row r="363" spans="1:14">
      <c r="A363" s="12" t="s">
        <v>7621</v>
      </c>
      <c r="B363" s="8">
        <v>2291.83534534509</v>
      </c>
      <c r="C363" s="12">
        <v>749.89714865412395</v>
      </c>
      <c r="D363" s="8">
        <v>1.6117387558271501</v>
      </c>
      <c r="E363" s="12">
        <v>8.9674327843123302E-4</v>
      </c>
      <c r="F363" s="8" t="s">
        <v>5468</v>
      </c>
      <c r="G363" s="12" t="s">
        <v>13772</v>
      </c>
      <c r="H363" s="12">
        <v>1</v>
      </c>
      <c r="I363" s="13" t="str">
        <f>HYPERLINK("http://www.ncbi.nlm.nih.gov/gene/9135", "9135")</f>
        <v>9135</v>
      </c>
      <c r="J363" s="12" t="s">
        <v>13773</v>
      </c>
      <c r="K363" s="12" t="s">
        <v>13774</v>
      </c>
      <c r="L363" s="13" t="str">
        <f>HYPERLINK("http://asia.ensembl.org/Homo_sapiens/Gene/Summary?g=ENSG00000029725", "ENSG00000029725")</f>
        <v>ENSG00000029725</v>
      </c>
      <c r="M363" s="12" t="s">
        <v>13775</v>
      </c>
      <c r="N363" s="12" t="s">
        <v>13776</v>
      </c>
    </row>
    <row r="364" spans="1:14">
      <c r="A364" s="12" t="s">
        <v>11820</v>
      </c>
      <c r="B364" s="8">
        <v>263.31941781771798</v>
      </c>
      <c r="C364" s="12">
        <v>86.173842995619196</v>
      </c>
      <c r="D364" s="8">
        <v>1.6114919845304301</v>
      </c>
      <c r="E364" s="12">
        <v>6.8620024634679397E-4</v>
      </c>
      <c r="F364" s="8" t="s">
        <v>10540</v>
      </c>
      <c r="G364" s="12" t="s">
        <v>10541</v>
      </c>
      <c r="H364" s="12">
        <v>1</v>
      </c>
      <c r="I364" s="13" t="str">
        <f>HYPERLINK("http://www.ncbi.nlm.nih.gov/gene/157378", "157378")</f>
        <v>157378</v>
      </c>
      <c r="J364" s="13" t="str">
        <f>HYPERLINK("http://www.ncbi.nlm.nih.gov/nuccore/NM_194291", "NM_194291")</f>
        <v>NM_194291</v>
      </c>
      <c r="K364" s="12" t="s">
        <v>10542</v>
      </c>
      <c r="L364" s="13" t="str">
        <f>HYPERLINK("http://asia.ensembl.org/Homo_sapiens/Gene/Summary?g=ENSG00000164983", "ENSG00000164983")</f>
        <v>ENSG00000164983</v>
      </c>
      <c r="M364" s="12" t="s">
        <v>10543</v>
      </c>
      <c r="N364" s="12" t="s">
        <v>10544</v>
      </c>
    </row>
    <row r="365" spans="1:14">
      <c r="A365" s="12" t="s">
        <v>8057</v>
      </c>
      <c r="B365" s="8">
        <v>4000.38822409775</v>
      </c>
      <c r="C365" s="12">
        <v>1309.6594794712601</v>
      </c>
      <c r="D365" s="8">
        <v>1.6109482656260601</v>
      </c>
      <c r="E365" s="12">
        <v>5.2810396365019904E-3</v>
      </c>
      <c r="F365" s="8" t="s">
        <v>8058</v>
      </c>
      <c r="G365" s="12" t="s">
        <v>14666</v>
      </c>
      <c r="H365" s="12">
        <v>1</v>
      </c>
      <c r="I365" s="13" t="str">
        <f>HYPERLINK("http://www.ncbi.nlm.nih.gov/gene/25832", "25832")</f>
        <v>25832</v>
      </c>
      <c r="J365" s="13" t="str">
        <f>HYPERLINK("http://www.ncbi.nlm.nih.gov/nuccore/NM_015383", "NM_015383")</f>
        <v>NM_015383</v>
      </c>
      <c r="K365" s="12" t="s">
        <v>8059</v>
      </c>
      <c r="L365" s="13" t="str">
        <f>HYPERLINK("http://asia.ensembl.org/Homo_sapiens/Gene/Summary?g=ENSG00000270629", "ENSG00000270629")</f>
        <v>ENSG00000270629</v>
      </c>
      <c r="M365" s="12" t="s">
        <v>8060</v>
      </c>
      <c r="N365" s="12" t="s">
        <v>8061</v>
      </c>
    </row>
    <row r="366" spans="1:14">
      <c r="A366" s="12" t="s">
        <v>798</v>
      </c>
      <c r="B366" s="8">
        <v>4429.76626689776</v>
      </c>
      <c r="C366" s="12">
        <v>1450.34794519102</v>
      </c>
      <c r="D366" s="8">
        <v>1.6108315271421101</v>
      </c>
      <c r="E366" s="12">
        <v>2.7198133748036501E-3</v>
      </c>
      <c r="F366" s="8" t="s">
        <v>799</v>
      </c>
      <c r="G366" s="12" t="s">
        <v>800</v>
      </c>
      <c r="H366" s="12">
        <v>1</v>
      </c>
      <c r="I366" s="13" t="str">
        <f>HYPERLINK("http://www.ncbi.nlm.nih.gov/gene/112840", "112840")</f>
        <v>112840</v>
      </c>
      <c r="J366" s="12" t="s">
        <v>12119</v>
      </c>
      <c r="K366" s="12" t="s">
        <v>12120</v>
      </c>
      <c r="L366" s="13" t="str">
        <f>HYPERLINK("http://asia.ensembl.org/Homo_sapiens/Gene/Summary?g=ENSG00000140006", "ENSG00000140006")</f>
        <v>ENSG00000140006</v>
      </c>
      <c r="M366" s="12" t="s">
        <v>12121</v>
      </c>
      <c r="N366" s="12" t="s">
        <v>12122</v>
      </c>
    </row>
    <row r="367" spans="1:14">
      <c r="A367" s="12" t="s">
        <v>11268</v>
      </c>
      <c r="B367" s="8">
        <v>1367.2595536507299</v>
      </c>
      <c r="C367" s="12">
        <v>447.65881848115902</v>
      </c>
      <c r="D367" s="8">
        <v>1.61081563140469</v>
      </c>
      <c r="E367" s="12">
        <v>2.8807906550135901E-3</v>
      </c>
      <c r="F367" s="8" t="s">
        <v>2041</v>
      </c>
      <c r="G367" s="12" t="s">
        <v>12525</v>
      </c>
      <c r="H367" s="12">
        <v>4</v>
      </c>
      <c r="I367" s="12" t="s">
        <v>2042</v>
      </c>
      <c r="J367" s="12" t="s">
        <v>12526</v>
      </c>
      <c r="K367" s="12" t="s">
        <v>12527</v>
      </c>
      <c r="L367" s="12" t="s">
        <v>2043</v>
      </c>
      <c r="M367" s="12" t="s">
        <v>12528</v>
      </c>
      <c r="N367" s="12" t="s">
        <v>12529</v>
      </c>
    </row>
    <row r="368" spans="1:14">
      <c r="A368" s="12" t="s">
        <v>5873</v>
      </c>
      <c r="B368" s="8">
        <v>351.07679373702501</v>
      </c>
      <c r="C368" s="12">
        <v>115.063626391984</v>
      </c>
      <c r="D368" s="8">
        <v>1.6093547922567499</v>
      </c>
      <c r="E368" s="12">
        <v>2.5271415706743801E-5</v>
      </c>
      <c r="F368" s="8" t="s">
        <v>5874</v>
      </c>
      <c r="G368" s="12" t="s">
        <v>5875</v>
      </c>
      <c r="H368" s="12">
        <v>1</v>
      </c>
      <c r="I368" s="13" t="str">
        <f>HYPERLINK("http://www.ncbi.nlm.nih.gov/gene/113263", "113263")</f>
        <v>113263</v>
      </c>
      <c r="J368" s="13" t="str">
        <f>HYPERLINK("http://www.ncbi.nlm.nih.gov/nuccore/NM_138426", "NM_138426")</f>
        <v>NM_138426</v>
      </c>
      <c r="K368" s="12" t="s">
        <v>5876</v>
      </c>
      <c r="L368" s="13" t="str">
        <f>HYPERLINK("http://asia.ensembl.org/Homo_sapiens/Gene/Summary?g=ENSG00000106415", "ENSG00000106415")</f>
        <v>ENSG00000106415</v>
      </c>
      <c r="M368" s="12" t="s">
        <v>13945</v>
      </c>
      <c r="N368" s="12" t="s">
        <v>13946</v>
      </c>
    </row>
    <row r="369" spans="1:14">
      <c r="A369" s="12" t="s">
        <v>7693</v>
      </c>
      <c r="B369" s="8">
        <v>498.61930075940199</v>
      </c>
      <c r="C369" s="12">
        <v>163.57280671483201</v>
      </c>
      <c r="D369" s="8">
        <v>1.6080058020549299</v>
      </c>
      <c r="E369" s="12">
        <v>3.2441619406561001E-3</v>
      </c>
      <c r="F369" s="8" t="s">
        <v>7694</v>
      </c>
      <c r="G369" s="12" t="s">
        <v>7695</v>
      </c>
      <c r="H369" s="12">
        <v>1</v>
      </c>
      <c r="I369" s="13" t="str">
        <f>HYPERLINK("http://www.ncbi.nlm.nih.gov/gene/341640", "341640")</f>
        <v>341640</v>
      </c>
      <c r="J369" s="13" t="str">
        <f>HYPERLINK("http://www.ncbi.nlm.nih.gov/nuccore/NM_207361", "NM_207361")</f>
        <v>NM_207361</v>
      </c>
      <c r="K369" s="12" t="s">
        <v>7696</v>
      </c>
      <c r="L369" s="13" t="str">
        <f>HYPERLINK("http://asia.ensembl.org/Homo_sapiens/Gene/Summary?g=ENSG00000150893", "ENSG00000150893")</f>
        <v>ENSG00000150893</v>
      </c>
      <c r="M369" s="12" t="s">
        <v>14512</v>
      </c>
      <c r="N369" s="12" t="s">
        <v>7697</v>
      </c>
    </row>
    <row r="370" spans="1:14">
      <c r="A370" s="12" t="s">
        <v>256</v>
      </c>
      <c r="B370" s="8">
        <v>5565.0585519573197</v>
      </c>
      <c r="C370" s="12">
        <v>1826.13285510472</v>
      </c>
      <c r="D370" s="8">
        <v>1.60760513843708</v>
      </c>
      <c r="E370" s="12">
        <v>1.35311579665706E-3</v>
      </c>
      <c r="F370" s="8" t="s">
        <v>257</v>
      </c>
      <c r="G370" s="12" t="s">
        <v>11927</v>
      </c>
      <c r="H370" s="12">
        <v>1</v>
      </c>
      <c r="I370" s="13" t="str">
        <f>HYPERLINK("http://www.ncbi.nlm.nih.gov/gene/54680", "54680")</f>
        <v>54680</v>
      </c>
      <c r="J370" s="12" t="s">
        <v>11928</v>
      </c>
      <c r="K370" s="12" t="s">
        <v>11929</v>
      </c>
      <c r="L370" s="13" t="str">
        <f>HYPERLINK("http://asia.ensembl.org/Homo_sapiens/Gene/Summary?g=ENSG00000117174", "ENSG00000117174")</f>
        <v>ENSG00000117174</v>
      </c>
      <c r="M370" s="12" t="s">
        <v>11930</v>
      </c>
      <c r="N370" s="12" t="s">
        <v>11931</v>
      </c>
    </row>
    <row r="371" spans="1:14">
      <c r="A371" s="12" t="s">
        <v>3288</v>
      </c>
      <c r="B371" s="8">
        <v>454.33810738617802</v>
      </c>
      <c r="C371" s="12">
        <v>149.19802579956999</v>
      </c>
      <c r="D371" s="8">
        <v>1.60653786994819</v>
      </c>
      <c r="E371" s="12">
        <v>1.2500303351512E-3</v>
      </c>
      <c r="F371" s="8" t="s">
        <v>3289</v>
      </c>
      <c r="G371" s="12" t="s">
        <v>3290</v>
      </c>
      <c r="H371" s="12">
        <v>1</v>
      </c>
      <c r="I371" s="13" t="str">
        <f>HYPERLINK("http://www.ncbi.nlm.nih.gov/gene/205860", "205860")</f>
        <v>205860</v>
      </c>
      <c r="J371" s="13" t="str">
        <f>HYPERLINK("http://www.ncbi.nlm.nih.gov/nuccore/NM_173553", "NM_173553")</f>
        <v>NM_173553</v>
      </c>
      <c r="K371" s="12" t="s">
        <v>3291</v>
      </c>
      <c r="L371" s="13" t="str">
        <f>HYPERLINK("http://asia.ensembl.org/Homo_sapiens/Gene/Summary?g=ENSG00000179046", "ENSG00000179046")</f>
        <v>ENSG00000179046</v>
      </c>
      <c r="M371" s="12" t="s">
        <v>12937</v>
      </c>
      <c r="N371" s="12" t="s">
        <v>12938</v>
      </c>
    </row>
    <row r="372" spans="1:14">
      <c r="A372" s="12" t="s">
        <v>323</v>
      </c>
      <c r="B372" s="8">
        <v>3193.8153447835398</v>
      </c>
      <c r="C372" s="12">
        <v>1049.70087560614</v>
      </c>
      <c r="D372" s="8">
        <v>1.60530262975271</v>
      </c>
      <c r="E372" s="12">
        <v>3.9857862768567596E-3</v>
      </c>
      <c r="F372" s="8" t="s">
        <v>324</v>
      </c>
      <c r="G372" s="12" t="s">
        <v>325</v>
      </c>
      <c r="H372" s="12">
        <v>1</v>
      </c>
      <c r="I372" s="13" t="str">
        <f>HYPERLINK("http://www.ncbi.nlm.nih.gov/gene/9448", "9448")</f>
        <v>9448</v>
      </c>
      <c r="J372" s="12" t="s">
        <v>11947</v>
      </c>
      <c r="K372" s="12" t="s">
        <v>11948</v>
      </c>
      <c r="L372" s="13" t="str">
        <f>HYPERLINK("http://asia.ensembl.org/Homo_sapiens/Gene/Summary?g=ENSG00000071054", "ENSG00000071054")</f>
        <v>ENSG00000071054</v>
      </c>
      <c r="M372" s="12" t="s">
        <v>11949</v>
      </c>
      <c r="N372" s="12" t="s">
        <v>11950</v>
      </c>
    </row>
    <row r="373" spans="1:14">
      <c r="A373" s="12" t="s">
        <v>7809</v>
      </c>
      <c r="B373" s="8">
        <v>339.13201101396601</v>
      </c>
      <c r="C373" s="12">
        <v>111.476545905525</v>
      </c>
      <c r="D373" s="8">
        <v>1.6051067618140999</v>
      </c>
      <c r="E373" s="12">
        <v>7.9424240220570402E-3</v>
      </c>
      <c r="F373" s="8" t="s">
        <v>7810</v>
      </c>
      <c r="G373" s="12" t="s">
        <v>14559</v>
      </c>
      <c r="H373" s="12">
        <v>1</v>
      </c>
      <c r="I373" s="13" t="str">
        <f>HYPERLINK("http://www.ncbi.nlm.nih.gov/gene/144108", "144108")</f>
        <v>144108</v>
      </c>
      <c r="J373" s="13" t="str">
        <f>HYPERLINK("http://www.ncbi.nlm.nih.gov/nuccore/NM_194285", "NM_194285")</f>
        <v>NM_194285</v>
      </c>
      <c r="K373" s="12" t="s">
        <v>7811</v>
      </c>
      <c r="L373" s="13" t="str">
        <f>HYPERLINK("http://asia.ensembl.org/Homo_sapiens/Gene/Summary?g=ENSG00000179119", "ENSG00000179119")</f>
        <v>ENSG00000179119</v>
      </c>
      <c r="M373" s="12" t="s">
        <v>14560</v>
      </c>
      <c r="N373" s="12" t="s">
        <v>7812</v>
      </c>
    </row>
    <row r="374" spans="1:14">
      <c r="A374" s="12" t="s">
        <v>10722</v>
      </c>
      <c r="B374" s="8">
        <v>1171.39582412389</v>
      </c>
      <c r="C374" s="12">
        <v>385.39341864034401</v>
      </c>
      <c r="D374" s="8">
        <v>1.6038248164786899</v>
      </c>
      <c r="E374" s="12">
        <v>7.6945149750815203E-3</v>
      </c>
      <c r="F374" s="8" t="s">
        <v>6542</v>
      </c>
      <c r="G374" s="12" t="s">
        <v>6543</v>
      </c>
      <c r="H374" s="12">
        <v>1</v>
      </c>
      <c r="I374" s="13" t="str">
        <f>HYPERLINK("http://www.ncbi.nlm.nih.gov/gene/30001", "30001")</f>
        <v>30001</v>
      </c>
      <c r="J374" s="13" t="str">
        <f>HYPERLINK("http://www.ncbi.nlm.nih.gov/nuccore/NM_014584", "NM_014584")</f>
        <v>NM_014584</v>
      </c>
      <c r="K374" s="12" t="s">
        <v>6544</v>
      </c>
      <c r="L374" s="13" t="str">
        <f>HYPERLINK("http://asia.ensembl.org/Homo_sapiens/Gene/Summary?g=ENSG00000197930", "ENSG00000197930")</f>
        <v>ENSG00000197930</v>
      </c>
      <c r="M374" s="12" t="s">
        <v>15769</v>
      </c>
      <c r="N374" s="12" t="s">
        <v>15770</v>
      </c>
    </row>
    <row r="375" spans="1:14">
      <c r="A375" s="12" t="s">
        <v>4940</v>
      </c>
      <c r="B375" s="8">
        <v>1438.9720189975001</v>
      </c>
      <c r="C375" s="12">
        <v>473.83570390465502</v>
      </c>
      <c r="D375" s="8">
        <v>1.60257972292557</v>
      </c>
      <c r="E375" s="12">
        <v>8.3214442718913795E-4</v>
      </c>
      <c r="F375" s="8" t="s">
        <v>4941</v>
      </c>
      <c r="G375" s="12" t="s">
        <v>4942</v>
      </c>
      <c r="H375" s="12">
        <v>1</v>
      </c>
      <c r="I375" s="13" t="str">
        <f>HYPERLINK("http://www.ncbi.nlm.nih.gov/gene/55667", "55667")</f>
        <v>55667</v>
      </c>
      <c r="J375" s="12" t="s">
        <v>13497</v>
      </c>
      <c r="K375" s="12" t="s">
        <v>13498</v>
      </c>
      <c r="L375" s="13" t="str">
        <f>HYPERLINK("http://asia.ensembl.org/Homo_sapiens/Gene/Summary?g=ENSG00000137145", "ENSG00000137145")</f>
        <v>ENSG00000137145</v>
      </c>
      <c r="M375" s="12" t="s">
        <v>13499</v>
      </c>
      <c r="N375" s="12" t="s">
        <v>13500</v>
      </c>
    </row>
    <row r="376" spans="1:14">
      <c r="A376" s="12" t="s">
        <v>5016</v>
      </c>
      <c r="B376" s="8">
        <v>74289.624041767602</v>
      </c>
      <c r="C376" s="12">
        <v>24465.0049480218</v>
      </c>
      <c r="D376" s="8">
        <v>1.6024411504917599</v>
      </c>
      <c r="E376" s="12">
        <v>3.51489103384448E-4</v>
      </c>
      <c r="F376" s="8" t="s">
        <v>5017</v>
      </c>
      <c r="G376" s="12" t="s">
        <v>5018</v>
      </c>
      <c r="H376" s="12">
        <v>1</v>
      </c>
      <c r="I376" s="13" t="str">
        <f>HYPERLINK("http://www.ncbi.nlm.nih.gov/gene/10979", "10979")</f>
        <v>10979</v>
      </c>
      <c r="J376" s="12" t="s">
        <v>13526</v>
      </c>
      <c r="K376" s="12" t="s">
        <v>13527</v>
      </c>
      <c r="L376" s="13" t="str">
        <f>HYPERLINK("http://asia.ensembl.org/Homo_sapiens/Gene/Summary?g=ENSG00000073712", "ENSG00000073712")</f>
        <v>ENSG00000073712</v>
      </c>
      <c r="M376" s="12" t="s">
        <v>13528</v>
      </c>
      <c r="N376" s="12" t="s">
        <v>13529</v>
      </c>
    </row>
    <row r="377" spans="1:14">
      <c r="A377" s="12" t="s">
        <v>11674</v>
      </c>
      <c r="B377" s="8">
        <v>5214.9457263826598</v>
      </c>
      <c r="C377" s="12">
        <v>1717.7041964935399</v>
      </c>
      <c r="D377" s="8">
        <v>1.6021706249191601</v>
      </c>
      <c r="E377" s="12">
        <v>5.3021257395930799E-3</v>
      </c>
      <c r="F377" s="8" t="s">
        <v>38</v>
      </c>
      <c r="G377" s="12" t="s">
        <v>38</v>
      </c>
      <c r="H377" s="12">
        <v>1</v>
      </c>
      <c r="I377" s="12" t="s">
        <v>38</v>
      </c>
      <c r="J377" s="12" t="s">
        <v>38</v>
      </c>
      <c r="K377" s="12" t="s">
        <v>38</v>
      </c>
      <c r="L377" s="12" t="s">
        <v>11671</v>
      </c>
      <c r="M377" s="12" t="s">
        <v>11672</v>
      </c>
      <c r="N377" s="12" t="s">
        <v>11673</v>
      </c>
    </row>
    <row r="378" spans="1:14">
      <c r="A378" s="12" t="s">
        <v>10550</v>
      </c>
      <c r="B378" s="8">
        <v>7075.7803300005598</v>
      </c>
      <c r="C378" s="12">
        <v>2332.03530239048</v>
      </c>
      <c r="D378" s="8">
        <v>1.6012996315208701</v>
      </c>
      <c r="E378" s="12">
        <v>2.03827245184247E-3</v>
      </c>
      <c r="F378" s="8" t="s">
        <v>1981</v>
      </c>
      <c r="G378" s="12" t="s">
        <v>1982</v>
      </c>
      <c r="H378" s="12">
        <v>1</v>
      </c>
      <c r="I378" s="13" t="str">
        <f>HYPERLINK("http://www.ncbi.nlm.nih.gov/gene/4131", "4131")</f>
        <v>4131</v>
      </c>
      <c r="J378" s="13" t="str">
        <f>HYPERLINK("http://www.ncbi.nlm.nih.gov/nuccore/NM_005909", "NM_005909")</f>
        <v>NM_005909</v>
      </c>
      <c r="K378" s="12" t="s">
        <v>1983</v>
      </c>
      <c r="L378" s="13" t="str">
        <f>HYPERLINK("http://asia.ensembl.org/Homo_sapiens/Gene/Summary?g=ENSG00000131711", "ENSG00000131711")</f>
        <v>ENSG00000131711</v>
      </c>
      <c r="M378" s="12" t="s">
        <v>12500</v>
      </c>
      <c r="N378" s="12" t="s">
        <v>12501</v>
      </c>
    </row>
    <row r="379" spans="1:14">
      <c r="A379" s="12" t="s">
        <v>6469</v>
      </c>
      <c r="B379" s="8">
        <v>29834.031907035998</v>
      </c>
      <c r="C379" s="12">
        <v>9836.2758692829993</v>
      </c>
      <c r="D379" s="8">
        <v>1.6007748606326999</v>
      </c>
      <c r="E379" s="12">
        <v>7.5893385307463897E-3</v>
      </c>
      <c r="F379" s="8" t="s">
        <v>6470</v>
      </c>
      <c r="G379" s="12" t="s">
        <v>14200</v>
      </c>
      <c r="H379" s="12">
        <v>1</v>
      </c>
      <c r="I379" s="13" t="str">
        <f>HYPERLINK("http://www.ncbi.nlm.nih.gov/gene/8661", "8661")</f>
        <v>8661</v>
      </c>
      <c r="J379" s="13" t="str">
        <f>HYPERLINK("http://www.ncbi.nlm.nih.gov/nuccore/NM_003750", "NM_003750")</f>
        <v>NM_003750</v>
      </c>
      <c r="K379" s="12" t="s">
        <v>6471</v>
      </c>
      <c r="L379" s="13" t="str">
        <f>HYPERLINK("http://asia.ensembl.org/Homo_sapiens/Gene/Summary?g=ENSG00000107581", "ENSG00000107581")</f>
        <v>ENSG00000107581</v>
      </c>
      <c r="M379" s="12" t="s">
        <v>14201</v>
      </c>
      <c r="N379" s="12" t="s">
        <v>14202</v>
      </c>
    </row>
    <row r="380" spans="1:14">
      <c r="A380" s="12" t="s">
        <v>4937</v>
      </c>
      <c r="B380" s="8">
        <v>151.509455411152</v>
      </c>
      <c r="C380" s="12">
        <v>49.999999999999901</v>
      </c>
      <c r="D380" s="8">
        <v>1.59940783230619</v>
      </c>
      <c r="E380" s="12">
        <v>1.32627391062717E-5</v>
      </c>
      <c r="F380" s="8" t="s">
        <v>4938</v>
      </c>
      <c r="G380" s="12" t="s">
        <v>4939</v>
      </c>
      <c r="H380" s="12">
        <v>1</v>
      </c>
      <c r="I380" s="13" t="str">
        <f>HYPERLINK("http://www.ncbi.nlm.nih.gov/gene/84333", "84333")</f>
        <v>84333</v>
      </c>
      <c r="J380" s="12" t="s">
        <v>13493</v>
      </c>
      <c r="K380" s="12" t="s">
        <v>13494</v>
      </c>
      <c r="L380" s="13" t="str">
        <f>HYPERLINK("http://asia.ensembl.org/Homo_sapiens/Gene/Summary?g=ENSG00000180628", "ENSG00000180628")</f>
        <v>ENSG00000180628</v>
      </c>
      <c r="M380" s="12" t="s">
        <v>13495</v>
      </c>
      <c r="N380" s="12" t="s">
        <v>13496</v>
      </c>
    </row>
    <row r="381" spans="1:14">
      <c r="A381" s="12" t="s">
        <v>7485</v>
      </c>
      <c r="B381" s="8">
        <v>6779.9816225457398</v>
      </c>
      <c r="C381" s="12">
        <v>2237.6862804011598</v>
      </c>
      <c r="D381" s="8">
        <v>1.59927357563816</v>
      </c>
      <c r="E381" s="12">
        <v>7.7261521302370603E-4</v>
      </c>
      <c r="F381" s="8" t="s">
        <v>1407</v>
      </c>
      <c r="G381" s="12" t="s">
        <v>1408</v>
      </c>
      <c r="H381" s="12">
        <v>1</v>
      </c>
      <c r="I381" s="13" t="str">
        <f>HYPERLINK("http://www.ncbi.nlm.nih.gov/gene/65056", "65056")</f>
        <v>65056</v>
      </c>
      <c r="J381" s="12" t="s">
        <v>12326</v>
      </c>
      <c r="K381" s="12" t="s">
        <v>12327</v>
      </c>
      <c r="L381" s="13" t="str">
        <f>HYPERLINK("http://asia.ensembl.org/Homo_sapiens/Gene/Summary?g=ENSG00000062194", "ENSG00000062194")</f>
        <v>ENSG00000062194</v>
      </c>
      <c r="M381" s="12" t="s">
        <v>12328</v>
      </c>
      <c r="N381" s="12" t="s">
        <v>12329</v>
      </c>
    </row>
    <row r="382" spans="1:14">
      <c r="A382" s="12" t="s">
        <v>2460</v>
      </c>
      <c r="B382" s="8">
        <v>1581.0613384711</v>
      </c>
      <c r="C382" s="12">
        <v>521.87955494132098</v>
      </c>
      <c r="D382" s="8">
        <v>1.59910454980872</v>
      </c>
      <c r="E382" s="12">
        <v>1.61919951904588E-3</v>
      </c>
      <c r="F382" s="8" t="s">
        <v>2461</v>
      </c>
      <c r="G382" s="12" t="s">
        <v>2462</v>
      </c>
      <c r="H382" s="12">
        <v>1</v>
      </c>
      <c r="I382" s="13" t="str">
        <f>HYPERLINK("http://www.ncbi.nlm.nih.gov/gene/10611", "10611")</f>
        <v>10611</v>
      </c>
      <c r="J382" s="12" t="s">
        <v>12657</v>
      </c>
      <c r="K382" s="12" t="s">
        <v>12658</v>
      </c>
      <c r="L382" s="13" t="str">
        <f>HYPERLINK("http://asia.ensembl.org/Homo_sapiens/Gene/Summary?g=ENSG00000163110", "ENSG00000163110")</f>
        <v>ENSG00000163110</v>
      </c>
      <c r="M382" s="12" t="s">
        <v>12659</v>
      </c>
      <c r="N382" s="12" t="s">
        <v>12660</v>
      </c>
    </row>
    <row r="383" spans="1:14">
      <c r="A383" s="12" t="s">
        <v>4474</v>
      </c>
      <c r="B383" s="8">
        <v>9239.2344463352692</v>
      </c>
      <c r="C383" s="12">
        <v>3053.70704686298</v>
      </c>
      <c r="D383" s="8">
        <v>1.59721165050337</v>
      </c>
      <c r="E383" s="12">
        <v>8.13323185391407E-4</v>
      </c>
      <c r="F383" s="8" t="s">
        <v>4475</v>
      </c>
      <c r="G383" s="12" t="s">
        <v>4476</v>
      </c>
      <c r="H383" s="12">
        <v>1</v>
      </c>
      <c r="I383" s="13" t="str">
        <f>HYPERLINK("http://www.ncbi.nlm.nih.gov/gene/57583", "57583")</f>
        <v>57583</v>
      </c>
      <c r="J383" s="13" t="str">
        <f>HYPERLINK("http://www.ncbi.nlm.nih.gov/nuccore/NM_020823", "NM_020823")</f>
        <v>NM_020823</v>
      </c>
      <c r="K383" s="12" t="s">
        <v>4477</v>
      </c>
      <c r="L383" s="13" t="str">
        <f>HYPERLINK("http://asia.ensembl.org/Homo_sapiens/Gene/Summary?g=ENSG00000146433", "ENSG00000146433")</f>
        <v>ENSG00000146433</v>
      </c>
      <c r="M383" s="12" t="s">
        <v>4478</v>
      </c>
      <c r="N383" s="12" t="s">
        <v>4479</v>
      </c>
    </row>
    <row r="384" spans="1:14">
      <c r="A384" s="12" t="s">
        <v>11440</v>
      </c>
      <c r="B384" s="8">
        <v>710.90325105890599</v>
      </c>
      <c r="C384" s="12">
        <v>235.00480514856599</v>
      </c>
      <c r="D384" s="8">
        <v>1.5969629766281299</v>
      </c>
      <c r="E384" s="12">
        <v>1.2909888151550201E-2</v>
      </c>
      <c r="F384" s="8" t="s">
        <v>11441</v>
      </c>
      <c r="G384" s="12" t="s">
        <v>16139</v>
      </c>
      <c r="H384" s="12">
        <v>4</v>
      </c>
      <c r="I384" s="12" t="s">
        <v>11442</v>
      </c>
      <c r="J384" s="12" t="s">
        <v>11443</v>
      </c>
      <c r="K384" s="12" t="s">
        <v>11444</v>
      </c>
      <c r="L384" s="12" t="s">
        <v>11445</v>
      </c>
      <c r="M384" s="12" t="s">
        <v>16140</v>
      </c>
      <c r="N384" s="12" t="s">
        <v>16141</v>
      </c>
    </row>
    <row r="385" spans="1:14">
      <c r="A385" s="12" t="s">
        <v>5659</v>
      </c>
      <c r="B385" s="8">
        <v>871.42387272909195</v>
      </c>
      <c r="C385" s="12">
        <v>288.29520629818097</v>
      </c>
      <c r="D385" s="8">
        <v>1.5958277882906899</v>
      </c>
      <c r="E385" s="12">
        <v>1.9130537880441801E-3</v>
      </c>
      <c r="F385" s="8" t="s">
        <v>5660</v>
      </c>
      <c r="G385" s="12" t="s">
        <v>5661</v>
      </c>
      <c r="H385" s="12">
        <v>1</v>
      </c>
      <c r="I385" s="13" t="str">
        <f>HYPERLINK("http://www.ncbi.nlm.nih.gov/gene/444", "444")</f>
        <v>444</v>
      </c>
      <c r="J385" s="12" t="s">
        <v>13860</v>
      </c>
      <c r="K385" s="12" t="s">
        <v>13861</v>
      </c>
      <c r="L385" s="13" t="str">
        <f>HYPERLINK("http://asia.ensembl.org/Homo_sapiens/Gene/Summary?g=ENSG00000198363", "ENSG00000198363")</f>
        <v>ENSG00000198363</v>
      </c>
      <c r="M385" s="12" t="s">
        <v>13862</v>
      </c>
      <c r="N385" s="12" t="s">
        <v>13863</v>
      </c>
    </row>
    <row r="386" spans="1:14">
      <c r="A386" s="12" t="s">
        <v>7938</v>
      </c>
      <c r="B386" s="8">
        <v>192.21006711063299</v>
      </c>
      <c r="C386" s="12">
        <v>63.603037740550398</v>
      </c>
      <c r="D386" s="8">
        <v>1.5955163233248499</v>
      </c>
      <c r="E386" s="12">
        <v>1.3358476816534201E-2</v>
      </c>
      <c r="F386" s="8" t="s">
        <v>7939</v>
      </c>
      <c r="G386" s="12" t="s">
        <v>7940</v>
      </c>
      <c r="H386" s="12">
        <v>1</v>
      </c>
      <c r="I386" s="13" t="str">
        <f>HYPERLINK("http://www.ncbi.nlm.nih.gov/gene/100216479", "100216479")</f>
        <v>100216479</v>
      </c>
      <c r="J386" s="12" t="s">
        <v>14616</v>
      </c>
      <c r="K386" s="12" t="s">
        <v>14507</v>
      </c>
      <c r="L386" s="12" t="s">
        <v>38</v>
      </c>
      <c r="M386" s="12" t="s">
        <v>38</v>
      </c>
      <c r="N386" s="12" t="s">
        <v>38</v>
      </c>
    </row>
    <row r="387" spans="1:14">
      <c r="A387" s="12" t="s">
        <v>5251</v>
      </c>
      <c r="B387" s="8">
        <v>1294.0696803388801</v>
      </c>
      <c r="C387" s="12">
        <v>428.37202386345598</v>
      </c>
      <c r="D387" s="8">
        <v>1.5949791339319299</v>
      </c>
      <c r="E387" s="12">
        <v>9.0494937004484393E-3</v>
      </c>
      <c r="F387" s="8" t="s">
        <v>5252</v>
      </c>
      <c r="G387" s="12" t="s">
        <v>5253</v>
      </c>
      <c r="H387" s="12">
        <v>1</v>
      </c>
      <c r="I387" s="13" t="str">
        <f>HYPERLINK("http://www.ncbi.nlm.nih.gov/gene/57448", "57448")</f>
        <v>57448</v>
      </c>
      <c r="J387" s="13" t="str">
        <f>HYPERLINK("http://www.ncbi.nlm.nih.gov/nuccore/NM_016252", "NM_016252")</f>
        <v>NM_016252</v>
      </c>
      <c r="K387" s="12" t="s">
        <v>5254</v>
      </c>
      <c r="L387" s="13" t="str">
        <f>HYPERLINK("http://asia.ensembl.org/Homo_sapiens/Gene/Summary?g=ENSG00000115760", "ENSG00000115760")</f>
        <v>ENSG00000115760</v>
      </c>
      <c r="M387" s="12" t="s">
        <v>13644</v>
      </c>
      <c r="N387" s="12" t="s">
        <v>13645</v>
      </c>
    </row>
    <row r="388" spans="1:14">
      <c r="A388" s="12" t="s">
        <v>11173</v>
      </c>
      <c r="B388" s="8">
        <v>151.01449096249999</v>
      </c>
      <c r="C388" s="12">
        <v>50</v>
      </c>
      <c r="D388" s="8">
        <v>1.59468699350175</v>
      </c>
      <c r="E388" s="12">
        <v>3.3990199254720801E-5</v>
      </c>
      <c r="F388" s="8" t="s">
        <v>38</v>
      </c>
      <c r="G388" s="12" t="s">
        <v>38</v>
      </c>
      <c r="H388" s="12">
        <v>1</v>
      </c>
      <c r="I388" s="12" t="s">
        <v>38</v>
      </c>
      <c r="J388" s="12" t="s">
        <v>38</v>
      </c>
      <c r="K388" s="12" t="s">
        <v>38</v>
      </c>
      <c r="L388" s="13" t="str">
        <f>HYPERLINK("http://asia.ensembl.org/Homo_sapiens/Gene/Summary?g=ENSG00000178538", "ENSG00000178538")</f>
        <v>ENSG00000178538</v>
      </c>
      <c r="M388" s="12" t="s">
        <v>11174</v>
      </c>
      <c r="N388" s="12" t="s">
        <v>3135</v>
      </c>
    </row>
    <row r="389" spans="1:14">
      <c r="A389" s="12" t="s">
        <v>3369</v>
      </c>
      <c r="B389" s="8">
        <v>2765.2283781267201</v>
      </c>
      <c r="C389" s="12">
        <v>915.68534992895297</v>
      </c>
      <c r="D389" s="8">
        <v>1.59447479033484</v>
      </c>
      <c r="E389" s="12">
        <v>6.1054272484579303E-4</v>
      </c>
      <c r="F389" s="8" t="s">
        <v>3370</v>
      </c>
      <c r="G389" s="12" t="s">
        <v>3371</v>
      </c>
      <c r="H389" s="12">
        <v>1</v>
      </c>
      <c r="I389" s="13" t="str">
        <f>HYPERLINK("http://www.ncbi.nlm.nih.gov/gene/114800", "114800")</f>
        <v>114800</v>
      </c>
      <c r="J389" s="13" t="str">
        <f>HYPERLINK("http://www.ncbi.nlm.nih.gov/nuccore/NM_001080433", "NM_001080433")</f>
        <v>NM_001080433</v>
      </c>
      <c r="K389" s="12" t="s">
        <v>3372</v>
      </c>
      <c r="L389" s="13" t="str">
        <f>HYPERLINK("http://asia.ensembl.org/Homo_sapiens/Gene/Summary?g=ENSG00000055813", "ENSG00000055813")</f>
        <v>ENSG00000055813</v>
      </c>
      <c r="M389" s="12" t="s">
        <v>3373</v>
      </c>
      <c r="N389" s="12" t="s">
        <v>3374</v>
      </c>
    </row>
    <row r="390" spans="1:14">
      <c r="A390" s="12" t="s">
        <v>5351</v>
      </c>
      <c r="B390" s="8">
        <v>523.34208013571401</v>
      </c>
      <c r="C390" s="12">
        <v>173.469592753119</v>
      </c>
      <c r="D390" s="8">
        <v>1.5930714688290399</v>
      </c>
      <c r="E390" s="12">
        <v>5.7107827684281199E-3</v>
      </c>
      <c r="F390" s="8" t="s">
        <v>5352</v>
      </c>
      <c r="G390" s="12" t="s">
        <v>5353</v>
      </c>
      <c r="H390" s="12">
        <v>1</v>
      </c>
      <c r="I390" s="13" t="str">
        <f>HYPERLINK("http://www.ncbi.nlm.nih.gov/gene/55605", "55605")</f>
        <v>55605</v>
      </c>
      <c r="J390" s="12" t="s">
        <v>13697</v>
      </c>
      <c r="K390" s="12" t="s">
        <v>13698</v>
      </c>
      <c r="L390" s="13" t="str">
        <f>HYPERLINK("http://asia.ensembl.org/Homo_sapiens/Gene/Summary?g=ENSG00000139116", "ENSG00000139116")</f>
        <v>ENSG00000139116</v>
      </c>
      <c r="M390" s="12" t="s">
        <v>13699</v>
      </c>
      <c r="N390" s="12" t="s">
        <v>13700</v>
      </c>
    </row>
    <row r="391" spans="1:14">
      <c r="A391" s="12" t="s">
        <v>7787</v>
      </c>
      <c r="B391" s="8">
        <v>995.13108804462502</v>
      </c>
      <c r="C391" s="12">
        <v>330.90956457152902</v>
      </c>
      <c r="D391" s="8">
        <v>1.58844959181822</v>
      </c>
      <c r="E391" s="12">
        <v>9.4584184098609099E-4</v>
      </c>
      <c r="F391" s="8" t="s">
        <v>7788</v>
      </c>
      <c r="G391" s="12" t="s">
        <v>14554</v>
      </c>
      <c r="H391" s="12">
        <v>1</v>
      </c>
      <c r="I391" s="13" t="str">
        <f>HYPERLINK("http://www.ncbi.nlm.nih.gov/gene/493", "493")</f>
        <v>493</v>
      </c>
      <c r="J391" s="12" t="s">
        <v>14555</v>
      </c>
      <c r="K391" s="12" t="s">
        <v>14556</v>
      </c>
      <c r="L391" s="13" t="str">
        <f>HYPERLINK("http://asia.ensembl.org/Homo_sapiens/Gene/Summary?g=ENSG00000058668", "ENSG00000058668")</f>
        <v>ENSG00000058668</v>
      </c>
      <c r="M391" s="12" t="s">
        <v>14557</v>
      </c>
      <c r="N391" s="12" t="s">
        <v>14558</v>
      </c>
    </row>
    <row r="392" spans="1:14">
      <c r="A392" s="12" t="s">
        <v>3662</v>
      </c>
      <c r="B392" s="8">
        <v>5632.3276796170503</v>
      </c>
      <c r="C392" s="12">
        <v>1873.2753623132501</v>
      </c>
      <c r="D392" s="8">
        <v>1.5881682857742601</v>
      </c>
      <c r="E392" s="12">
        <v>7.20829237436732E-3</v>
      </c>
      <c r="F392" s="8" t="s">
        <v>3663</v>
      </c>
      <c r="G392" s="12" t="s">
        <v>3664</v>
      </c>
      <c r="H392" s="12">
        <v>1</v>
      </c>
      <c r="I392" s="13" t="str">
        <f>HYPERLINK("http://www.ncbi.nlm.nih.gov/gene/83872", "83872")</f>
        <v>83872</v>
      </c>
      <c r="J392" s="13" t="str">
        <f>HYPERLINK("http://www.ncbi.nlm.nih.gov/nuccore/NM_031935", "NM_031935")</f>
        <v>NM_031935</v>
      </c>
      <c r="K392" s="12" t="s">
        <v>3665</v>
      </c>
      <c r="L392" s="13" t="str">
        <f>HYPERLINK("http://asia.ensembl.org/Homo_sapiens/Gene/Summary?g=ENSG00000143341", "ENSG00000143341")</f>
        <v>ENSG00000143341</v>
      </c>
      <c r="M392" s="12" t="s">
        <v>13067</v>
      </c>
      <c r="N392" s="12" t="s">
        <v>13068</v>
      </c>
    </row>
    <row r="393" spans="1:14">
      <c r="A393" s="12" t="s">
        <v>4838</v>
      </c>
      <c r="B393" s="8">
        <v>3610.8996400420801</v>
      </c>
      <c r="C393" s="12">
        <v>1203.30799497015</v>
      </c>
      <c r="D393" s="8">
        <v>1.58535236561793</v>
      </c>
      <c r="E393" s="12">
        <v>6.0593150627498904E-3</v>
      </c>
      <c r="F393" s="8" t="s">
        <v>4839</v>
      </c>
      <c r="G393" s="12" t="s">
        <v>4840</v>
      </c>
      <c r="H393" s="12">
        <v>1</v>
      </c>
      <c r="I393" s="13" t="str">
        <f>HYPERLINK("http://www.ncbi.nlm.nih.gov/gene/9793", "9793")</f>
        <v>9793</v>
      </c>
      <c r="J393" s="12" t="s">
        <v>13417</v>
      </c>
      <c r="K393" s="12" t="s">
        <v>13418</v>
      </c>
      <c r="L393" s="13" t="str">
        <f>HYPERLINK("http://asia.ensembl.org/Homo_sapiens/Gene/Summary?g=ENSG00000175216", "ENSG00000175216")</f>
        <v>ENSG00000175216</v>
      </c>
      <c r="M393" s="12" t="s">
        <v>13419</v>
      </c>
      <c r="N393" s="12" t="s">
        <v>13420</v>
      </c>
    </row>
    <row r="394" spans="1:14">
      <c r="A394" s="12" t="s">
        <v>9240</v>
      </c>
      <c r="B394" s="8">
        <v>317.639725612174</v>
      </c>
      <c r="C394" s="12">
        <v>106.027377407617</v>
      </c>
      <c r="D394" s="8">
        <v>1.58295452217379</v>
      </c>
      <c r="E394" s="12">
        <v>1.4136165228594001E-2</v>
      </c>
      <c r="F394" s="8" t="s">
        <v>9241</v>
      </c>
      <c r="G394" s="12" t="s">
        <v>15020</v>
      </c>
      <c r="H394" s="12">
        <v>1</v>
      </c>
      <c r="I394" s="13" t="str">
        <f>HYPERLINK("http://www.ncbi.nlm.nih.gov/gene/390431", "390431")</f>
        <v>390431</v>
      </c>
      <c r="J394" s="13" t="str">
        <f>HYPERLINK("http://www.ncbi.nlm.nih.gov/nuccore/NM_001005501", "NM_001005501")</f>
        <v>NM_001005501</v>
      </c>
      <c r="K394" s="12" t="s">
        <v>9242</v>
      </c>
      <c r="L394" s="13" t="str">
        <f>HYPERLINK("http://asia.ensembl.org/Homo_sapiens/Gene/Summary?g=ENSG00000165762", "ENSG00000165762")</f>
        <v>ENSG00000165762</v>
      </c>
      <c r="M394" s="12" t="s">
        <v>9243</v>
      </c>
      <c r="N394" s="12" t="s">
        <v>9244</v>
      </c>
    </row>
    <row r="395" spans="1:14">
      <c r="A395" s="12" t="s">
        <v>10667</v>
      </c>
      <c r="B395" s="8">
        <v>736.09659867660105</v>
      </c>
      <c r="C395" s="12">
        <v>245.792707247826</v>
      </c>
      <c r="D395" s="8">
        <v>1.5824529938881999</v>
      </c>
      <c r="E395" s="12">
        <v>8.8221438712043701E-3</v>
      </c>
      <c r="F395" s="8" t="s">
        <v>7264</v>
      </c>
      <c r="G395" s="12" t="s">
        <v>7265</v>
      </c>
      <c r="H395" s="12">
        <v>1</v>
      </c>
      <c r="I395" s="13" t="str">
        <f>HYPERLINK("http://www.ncbi.nlm.nih.gov/gene/1983", "1983")</f>
        <v>1983</v>
      </c>
      <c r="J395" s="12" t="s">
        <v>14375</v>
      </c>
      <c r="K395" s="12" t="s">
        <v>14376</v>
      </c>
      <c r="L395" s="13" t="str">
        <f>HYPERLINK("http://asia.ensembl.org/Homo_sapiens/Gene/Summary?g=ENSG00000100664", "ENSG00000100664")</f>
        <v>ENSG00000100664</v>
      </c>
      <c r="M395" s="12" t="s">
        <v>14377</v>
      </c>
      <c r="N395" s="12" t="s">
        <v>14378</v>
      </c>
    </row>
    <row r="396" spans="1:14">
      <c r="A396" s="12" t="s">
        <v>8714</v>
      </c>
      <c r="B396" s="8">
        <v>326.59167801245502</v>
      </c>
      <c r="C396" s="12">
        <v>109.068422169336</v>
      </c>
      <c r="D396" s="8">
        <v>1.5822545610558101</v>
      </c>
      <c r="E396" s="12">
        <v>2.05622395086602E-4</v>
      </c>
      <c r="F396" s="8" t="s">
        <v>8715</v>
      </c>
      <c r="G396" s="12" t="s">
        <v>8716</v>
      </c>
      <c r="H396" s="12">
        <v>1</v>
      </c>
      <c r="I396" s="13" t="str">
        <f>HYPERLINK("http://www.ncbi.nlm.nih.gov/gene/6224", "6224")</f>
        <v>6224</v>
      </c>
      <c r="J396" s="13" t="str">
        <f>HYPERLINK("http://www.ncbi.nlm.nih.gov/nuccore/NM_001146227", "NM_001146227")</f>
        <v>NM_001146227</v>
      </c>
      <c r="K396" s="12" t="s">
        <v>8717</v>
      </c>
      <c r="L396" s="13" t="str">
        <f>HYPERLINK("http://asia.ensembl.org/Homo_sapiens/Gene/Summary?g=ENSG00000008988", "ENSG00000008988")</f>
        <v>ENSG00000008988</v>
      </c>
      <c r="M396" s="12" t="s">
        <v>14835</v>
      </c>
      <c r="N396" s="12" t="s">
        <v>14836</v>
      </c>
    </row>
    <row r="397" spans="1:14">
      <c r="A397" s="12" t="s">
        <v>5997</v>
      </c>
      <c r="B397" s="8">
        <v>331.24414085875702</v>
      </c>
      <c r="C397" s="12">
        <v>110.77402272105699</v>
      </c>
      <c r="D397" s="8">
        <v>1.58027533695883</v>
      </c>
      <c r="E397" s="12">
        <v>1.0116269730319101E-3</v>
      </c>
      <c r="F397" s="8" t="s">
        <v>5998</v>
      </c>
      <c r="G397" s="12" t="s">
        <v>5999</v>
      </c>
      <c r="H397" s="12">
        <v>1</v>
      </c>
      <c r="I397" s="13" t="str">
        <f>HYPERLINK("http://www.ncbi.nlm.nih.gov/gene/9760", "9760")</f>
        <v>9760</v>
      </c>
      <c r="J397" s="13" t="str">
        <f>HYPERLINK("http://www.ncbi.nlm.nih.gov/nuccore/NM_014729", "NM_014729")</f>
        <v>NM_014729</v>
      </c>
      <c r="K397" s="12" t="s">
        <v>6000</v>
      </c>
      <c r="L397" s="13" t="str">
        <f>HYPERLINK("http://asia.ensembl.org/Homo_sapiens/Gene/Summary?g=ENSG00000198846", "ENSG00000198846")</f>
        <v>ENSG00000198846</v>
      </c>
      <c r="M397" s="12" t="s">
        <v>6001</v>
      </c>
      <c r="N397" s="12" t="s">
        <v>6002</v>
      </c>
    </row>
    <row r="398" spans="1:14">
      <c r="A398" s="12" t="s">
        <v>9655</v>
      </c>
      <c r="B398" s="8">
        <v>4143.1977286700503</v>
      </c>
      <c r="C398" s="12">
        <v>1386.5817108671599</v>
      </c>
      <c r="D398" s="8">
        <v>1.5792120361938</v>
      </c>
      <c r="E398" s="12">
        <v>5.5205543506225204E-4</v>
      </c>
      <c r="F398" s="8" t="s">
        <v>9656</v>
      </c>
      <c r="G398" s="12" t="s">
        <v>9657</v>
      </c>
      <c r="H398" s="12">
        <v>4</v>
      </c>
      <c r="I398" s="12" t="s">
        <v>9658</v>
      </c>
      <c r="J398" s="12" t="s">
        <v>15150</v>
      </c>
      <c r="K398" s="12" t="s">
        <v>15151</v>
      </c>
      <c r="L398" s="12" t="s">
        <v>9659</v>
      </c>
      <c r="M398" s="12" t="s">
        <v>15152</v>
      </c>
      <c r="N398" s="12" t="s">
        <v>15153</v>
      </c>
    </row>
    <row r="399" spans="1:14">
      <c r="A399" s="12" t="s">
        <v>10645</v>
      </c>
      <c r="B399" s="8">
        <v>10334.697246633699</v>
      </c>
      <c r="C399" s="12">
        <v>3459.0733441780499</v>
      </c>
      <c r="D399" s="8">
        <v>1.57903861663928</v>
      </c>
      <c r="E399" s="12">
        <v>2.2242850352737799E-4</v>
      </c>
      <c r="F399" s="8" t="s">
        <v>8475</v>
      </c>
      <c r="G399" s="12" t="s">
        <v>8476</v>
      </c>
      <c r="H399" s="12">
        <v>1</v>
      </c>
      <c r="I399" s="13" t="str">
        <f>HYPERLINK("http://www.ncbi.nlm.nih.gov/gene/3093", "3093")</f>
        <v>3093</v>
      </c>
      <c r="J399" s="12" t="s">
        <v>15664</v>
      </c>
      <c r="K399" s="12" t="s">
        <v>15665</v>
      </c>
      <c r="L399" s="13" t="str">
        <f>HYPERLINK("http://asia.ensembl.org/Homo_sapiens/Gene/Summary?g=ENSG00000078140", "ENSG00000078140")</f>
        <v>ENSG00000078140</v>
      </c>
      <c r="M399" s="12" t="s">
        <v>15666</v>
      </c>
      <c r="N399" s="12" t="s">
        <v>15667</v>
      </c>
    </row>
    <row r="400" spans="1:14">
      <c r="A400" s="12" t="s">
        <v>4796</v>
      </c>
      <c r="B400" s="8">
        <v>149.320598576256</v>
      </c>
      <c r="C400" s="12">
        <v>50</v>
      </c>
      <c r="D400" s="8">
        <v>1.57841319704631</v>
      </c>
      <c r="E400" s="12">
        <v>9.9038791612647103E-4</v>
      </c>
      <c r="F400" s="8" t="s">
        <v>4797</v>
      </c>
      <c r="G400" s="12" t="s">
        <v>13393</v>
      </c>
      <c r="H400" s="12">
        <v>1</v>
      </c>
      <c r="I400" s="13" t="str">
        <f>HYPERLINK("http://www.ncbi.nlm.nih.gov/gene/113510", "113510")</f>
        <v>113510</v>
      </c>
      <c r="J400" s="13" t="str">
        <f>HYPERLINK("http://www.ncbi.nlm.nih.gov/nuccore/NM_133636", "NM_133636")</f>
        <v>NM_133636</v>
      </c>
      <c r="K400" s="12" t="s">
        <v>4798</v>
      </c>
      <c r="L400" s="13" t="str">
        <f>HYPERLINK("http://asia.ensembl.org/Homo_sapiens/Gene/Summary?g=ENSG00000163312", "ENSG00000163312")</f>
        <v>ENSG00000163312</v>
      </c>
      <c r="M400" s="12" t="s">
        <v>13394</v>
      </c>
      <c r="N400" s="12" t="s">
        <v>13395</v>
      </c>
    </row>
    <row r="401" spans="1:14">
      <c r="A401" s="12" t="s">
        <v>7625</v>
      </c>
      <c r="B401" s="8">
        <v>3491.9563477833599</v>
      </c>
      <c r="C401" s="12">
        <v>1170.66515586847</v>
      </c>
      <c r="D401" s="8">
        <v>1.57670704196302</v>
      </c>
      <c r="E401" s="12">
        <v>1.63470249381799E-3</v>
      </c>
      <c r="F401" s="8" t="s">
        <v>7626</v>
      </c>
      <c r="G401" s="12" t="s">
        <v>14482</v>
      </c>
      <c r="H401" s="12">
        <v>1</v>
      </c>
      <c r="I401" s="13" t="str">
        <f>HYPERLINK("http://www.ncbi.nlm.nih.gov/gene/9044", "9044")</f>
        <v>9044</v>
      </c>
      <c r="J401" s="13" t="str">
        <f>HYPERLINK("http://www.ncbi.nlm.nih.gov/nuccore/NM_003972", "NM_003972")</f>
        <v>NM_003972</v>
      </c>
      <c r="K401" s="12" t="s">
        <v>7627</v>
      </c>
      <c r="L401" s="13" t="str">
        <f>HYPERLINK("http://asia.ensembl.org/Homo_sapiens/Gene/Summary?g=ENSG00000095564", "ENSG00000095564")</f>
        <v>ENSG00000095564</v>
      </c>
      <c r="M401" s="12" t="s">
        <v>14483</v>
      </c>
      <c r="N401" s="12" t="s">
        <v>14484</v>
      </c>
    </row>
    <row r="402" spans="1:14">
      <c r="A402" s="12" t="s">
        <v>8231</v>
      </c>
      <c r="B402" s="8">
        <v>402.25742735834501</v>
      </c>
      <c r="C402" s="12">
        <v>134.86103568722999</v>
      </c>
      <c r="D402" s="8">
        <v>1.5766454771606999</v>
      </c>
      <c r="E402" s="12">
        <v>7.64621815702584E-3</v>
      </c>
      <c r="F402" s="8" t="s">
        <v>8232</v>
      </c>
      <c r="G402" s="12" t="s">
        <v>14708</v>
      </c>
      <c r="H402" s="12">
        <v>1</v>
      </c>
      <c r="I402" s="13" t="str">
        <f>HYPERLINK("http://www.ncbi.nlm.nih.gov/gene/27160", "27160")</f>
        <v>27160</v>
      </c>
      <c r="J402" s="13" t="str">
        <f>HYPERLINK("http://www.ncbi.nlm.nih.gov/nuccore/NR_002226", "NR_002226")</f>
        <v>NR_002226</v>
      </c>
      <c r="K402" s="12" t="s">
        <v>199</v>
      </c>
      <c r="L402" s="13" t="str">
        <f>HYPERLINK("http://asia.ensembl.org/Homo_sapiens/Gene/Summary?g=ENSG00000243468", "ENSG00000243468")</f>
        <v>ENSG00000243468</v>
      </c>
      <c r="M402" s="12" t="s">
        <v>14709</v>
      </c>
    </row>
    <row r="403" spans="1:14">
      <c r="A403" s="12" t="s">
        <v>7439</v>
      </c>
      <c r="B403" s="8">
        <v>2133.0692945883302</v>
      </c>
      <c r="C403" s="12">
        <v>716.22174063796103</v>
      </c>
      <c r="D403" s="8">
        <v>1.5744526167335799</v>
      </c>
      <c r="E403" s="12">
        <v>9.9315798402949108E-4</v>
      </c>
      <c r="F403" s="8" t="s">
        <v>6303</v>
      </c>
      <c r="G403" s="12" t="s">
        <v>14138</v>
      </c>
      <c r="H403" s="12">
        <v>1</v>
      </c>
      <c r="I403" s="13" t="str">
        <f>HYPERLINK("http://www.ncbi.nlm.nih.gov/gene/3624", "3624")</f>
        <v>3624</v>
      </c>
      <c r="J403" s="13" t="str">
        <f>HYPERLINK("http://www.ncbi.nlm.nih.gov/nuccore/NM_002192", "NM_002192")</f>
        <v>NM_002192</v>
      </c>
      <c r="K403" s="12" t="s">
        <v>6304</v>
      </c>
      <c r="L403" s="13" t="str">
        <f>HYPERLINK("http://asia.ensembl.org/Homo_sapiens/Gene/Summary?g=ENSG00000122641", "ENSG00000122641")</f>
        <v>ENSG00000122641</v>
      </c>
      <c r="M403" s="12" t="s">
        <v>14139</v>
      </c>
      <c r="N403" s="12" t="s">
        <v>14140</v>
      </c>
    </row>
    <row r="404" spans="1:14">
      <c r="A404" s="12" t="s">
        <v>6865</v>
      </c>
      <c r="B404" s="8">
        <v>1862.07446020365</v>
      </c>
      <c r="C404" s="12">
        <v>625.453511405227</v>
      </c>
      <c r="D404" s="8">
        <v>1.57393620309217</v>
      </c>
      <c r="E404" s="12">
        <v>6.3758116704952499E-3</v>
      </c>
      <c r="F404" s="8" t="s">
        <v>6866</v>
      </c>
      <c r="G404" s="12" t="s">
        <v>6867</v>
      </c>
      <c r="H404" s="12">
        <v>4</v>
      </c>
      <c r="I404" s="12" t="s">
        <v>6868</v>
      </c>
      <c r="J404" s="12" t="s">
        <v>14280</v>
      </c>
      <c r="K404" s="12" t="s">
        <v>14281</v>
      </c>
      <c r="L404" s="13" t="str">
        <f>HYPERLINK("http://asia.ensembl.org/Homo_sapiens/Gene/Summary?g=ENSG00000110172", "ENSG00000110172")</f>
        <v>ENSG00000110172</v>
      </c>
      <c r="M404" s="12" t="s">
        <v>14282</v>
      </c>
      <c r="N404" s="12" t="s">
        <v>14283</v>
      </c>
    </row>
    <row r="405" spans="1:14">
      <c r="A405" s="12" t="s">
        <v>5957</v>
      </c>
      <c r="B405" s="8">
        <v>890.07230375644394</v>
      </c>
      <c r="C405" s="12">
        <v>299.11663435379802</v>
      </c>
      <c r="D405" s="8">
        <v>1.57321439285336</v>
      </c>
      <c r="E405" s="12">
        <v>1.3797169500635699E-3</v>
      </c>
      <c r="F405" s="8" t="s">
        <v>5958</v>
      </c>
      <c r="G405" s="12" t="s">
        <v>5959</v>
      </c>
      <c r="H405" s="12">
        <v>1</v>
      </c>
      <c r="I405" s="13" t="str">
        <f>HYPERLINK("http://www.ncbi.nlm.nih.gov/gene/57728", "57728")</f>
        <v>57728</v>
      </c>
      <c r="J405" s="13" t="str">
        <f>HYPERLINK("http://www.ncbi.nlm.nih.gov/nuccore/NM_025132", "NM_025132")</f>
        <v>NM_025132</v>
      </c>
      <c r="K405" s="12" t="s">
        <v>5960</v>
      </c>
      <c r="L405" s="13" t="str">
        <f>HYPERLINK("http://asia.ensembl.org/Homo_sapiens/Gene/Summary?g=ENSG00000157796", "ENSG00000157796")</f>
        <v>ENSG00000157796</v>
      </c>
      <c r="M405" s="12" t="s">
        <v>13979</v>
      </c>
      <c r="N405" s="12" t="s">
        <v>13980</v>
      </c>
    </row>
    <row r="406" spans="1:14">
      <c r="A406" s="12" t="s">
        <v>593</v>
      </c>
      <c r="B406" s="8">
        <v>1188.22065606149</v>
      </c>
      <c r="C406" s="12">
        <v>399.58055290089698</v>
      </c>
      <c r="D406" s="8">
        <v>1.57224449797903</v>
      </c>
      <c r="E406" s="12">
        <v>2.1288679349877699E-3</v>
      </c>
      <c r="F406" s="8" t="s">
        <v>594</v>
      </c>
      <c r="G406" s="12" t="s">
        <v>12043</v>
      </c>
      <c r="H406" s="12">
        <v>1</v>
      </c>
      <c r="I406" s="13" t="str">
        <f>HYPERLINK("http://www.ncbi.nlm.nih.gov/gene/64762", "64762")</f>
        <v>64762</v>
      </c>
      <c r="J406" s="12" t="s">
        <v>12044</v>
      </c>
      <c r="K406" s="12" t="s">
        <v>12045</v>
      </c>
      <c r="L406" s="13" t="str">
        <f>HYPERLINK("http://asia.ensembl.org/Homo_sapiens/Gene/Summary?g=ENSG00000141441", "ENSG00000141441")</f>
        <v>ENSG00000141441</v>
      </c>
      <c r="M406" s="12" t="s">
        <v>12046</v>
      </c>
      <c r="N406" s="12" t="s">
        <v>12047</v>
      </c>
    </row>
    <row r="407" spans="1:14">
      <c r="A407" s="12" t="s">
        <v>785</v>
      </c>
      <c r="B407" s="8">
        <v>1111.9249958268399</v>
      </c>
      <c r="C407" s="12">
        <v>373.97250192566599</v>
      </c>
      <c r="D407" s="8">
        <v>1.5720553770569301</v>
      </c>
      <c r="E407" s="12">
        <v>3.82750905971913E-3</v>
      </c>
      <c r="F407" s="8" t="s">
        <v>786</v>
      </c>
      <c r="G407" s="12" t="s">
        <v>12107</v>
      </c>
      <c r="H407" s="12">
        <v>1</v>
      </c>
      <c r="I407" s="13" t="str">
        <f>HYPERLINK("http://www.ncbi.nlm.nih.gov/gene/10087", "10087")</f>
        <v>10087</v>
      </c>
      <c r="J407" s="12" t="s">
        <v>12108</v>
      </c>
      <c r="K407" s="12" t="s">
        <v>12109</v>
      </c>
      <c r="L407" s="13" t="str">
        <f>HYPERLINK("http://asia.ensembl.org/Homo_sapiens/Gene/Summary?g=ENSG00000113163", "ENSG00000113163")</f>
        <v>ENSG00000113163</v>
      </c>
      <c r="M407" s="12" t="s">
        <v>12110</v>
      </c>
      <c r="N407" s="12" t="s">
        <v>12111</v>
      </c>
    </row>
    <row r="408" spans="1:14">
      <c r="A408" s="12" t="s">
        <v>11186</v>
      </c>
      <c r="B408" s="8">
        <v>360.53694236761402</v>
      </c>
      <c r="C408" s="12">
        <v>121.35271052415401</v>
      </c>
      <c r="D408" s="8">
        <v>1.57094075982</v>
      </c>
      <c r="E408" s="12">
        <v>2.72770482250577E-2</v>
      </c>
      <c r="F408" s="8" t="s">
        <v>38</v>
      </c>
      <c r="G408" s="12" t="s">
        <v>38</v>
      </c>
      <c r="H408" s="12">
        <v>1</v>
      </c>
      <c r="I408" s="12" t="s">
        <v>38</v>
      </c>
      <c r="J408" s="12" t="s">
        <v>38</v>
      </c>
      <c r="K408" s="12" t="s">
        <v>38</v>
      </c>
      <c r="L408" s="13" t="str">
        <f>HYPERLINK("http://asia.ensembl.org/Homo_sapiens/Gene/Summary?g=ENSG00000213337", "ENSG00000213337")</f>
        <v>ENSG00000213337</v>
      </c>
      <c r="M408" s="12" t="s">
        <v>11187</v>
      </c>
      <c r="N408" s="12" t="s">
        <v>16017</v>
      </c>
    </row>
    <row r="409" spans="1:14">
      <c r="A409" s="12" t="s">
        <v>10717</v>
      </c>
      <c r="B409" s="8">
        <v>1877.0236143985001</v>
      </c>
      <c r="C409" s="12">
        <v>631.82930306345497</v>
      </c>
      <c r="D409" s="8">
        <v>1.57084004724293</v>
      </c>
      <c r="E409" s="12">
        <v>9.0709326269123002E-3</v>
      </c>
      <c r="F409" s="8" t="s">
        <v>3039</v>
      </c>
      <c r="G409" s="12" t="s">
        <v>12873</v>
      </c>
      <c r="H409" s="12">
        <v>1</v>
      </c>
      <c r="I409" s="13" t="str">
        <f>HYPERLINK("http://www.ncbi.nlm.nih.gov/gene/8526", "8526")</f>
        <v>8526</v>
      </c>
      <c r="J409" s="13" t="str">
        <f>HYPERLINK("http://www.ncbi.nlm.nih.gov/nuccore/NM_003647", "NM_003647")</f>
        <v>NM_003647</v>
      </c>
      <c r="K409" s="12" t="s">
        <v>3040</v>
      </c>
      <c r="L409" s="13" t="str">
        <f>HYPERLINK("http://asia.ensembl.org/Homo_sapiens/Gene/Summary?g=ENSG00000153933", "ENSG00000153933")</f>
        <v>ENSG00000153933</v>
      </c>
      <c r="M409" s="12" t="s">
        <v>12874</v>
      </c>
      <c r="N409" s="12" t="s">
        <v>12875</v>
      </c>
    </row>
    <row r="410" spans="1:14">
      <c r="A410" s="12" t="s">
        <v>3233</v>
      </c>
      <c r="B410" s="8">
        <v>242.29383368219399</v>
      </c>
      <c r="C410" s="12">
        <v>81.561923895231004</v>
      </c>
      <c r="D410" s="8">
        <v>1.5707899776450001</v>
      </c>
      <c r="E410" s="12">
        <v>4.9147765507175497E-3</v>
      </c>
      <c r="F410" s="8" t="s">
        <v>3234</v>
      </c>
      <c r="G410" s="12" t="s">
        <v>12917</v>
      </c>
      <c r="H410" s="12">
        <v>1</v>
      </c>
      <c r="I410" s="13" t="str">
        <f>HYPERLINK("http://www.ncbi.nlm.nih.gov/gene/140803", "140803")</f>
        <v>140803</v>
      </c>
      <c r="J410" s="12" t="s">
        <v>12918</v>
      </c>
      <c r="K410" s="12" t="s">
        <v>12919</v>
      </c>
      <c r="L410" s="13" t="str">
        <f>HYPERLINK("http://asia.ensembl.org/Homo_sapiens/Gene/Summary?g=ENSG00000119121", "ENSG00000119121")</f>
        <v>ENSG00000119121</v>
      </c>
      <c r="M410" s="12" t="s">
        <v>12920</v>
      </c>
      <c r="N410" s="12" t="s">
        <v>12921</v>
      </c>
    </row>
    <row r="411" spans="1:14">
      <c r="A411" s="12" t="s">
        <v>10656</v>
      </c>
      <c r="B411" s="8">
        <v>9824.1016330127095</v>
      </c>
      <c r="C411" s="12">
        <v>3311.6209890026098</v>
      </c>
      <c r="D411" s="8">
        <v>1.5687879182681901</v>
      </c>
      <c r="E411" s="12">
        <v>2.2486413312639399E-3</v>
      </c>
      <c r="F411" s="8" t="s">
        <v>10657</v>
      </c>
      <c r="G411" s="12" t="s">
        <v>10658</v>
      </c>
      <c r="H411" s="12">
        <v>1</v>
      </c>
      <c r="I411" s="13" t="str">
        <f>HYPERLINK("http://www.ncbi.nlm.nih.gov/gene/57542", "57542")</f>
        <v>57542</v>
      </c>
      <c r="J411" s="13" t="str">
        <f>HYPERLINK("http://www.ncbi.nlm.nih.gov/nuccore/NM_020782", "NM_020782")</f>
        <v>NM_020782</v>
      </c>
      <c r="K411" s="12" t="s">
        <v>10659</v>
      </c>
      <c r="L411" s="13" t="str">
        <f>HYPERLINK("http://asia.ensembl.org/Homo_sapiens/Gene/Summary?g=ENSG00000087448", "ENSG00000087448")</f>
        <v>ENSG00000087448</v>
      </c>
      <c r="M411" s="12" t="s">
        <v>15684</v>
      </c>
      <c r="N411" s="12" t="s">
        <v>15685</v>
      </c>
    </row>
    <row r="412" spans="1:14">
      <c r="A412" s="12" t="s">
        <v>5791</v>
      </c>
      <c r="B412" s="8">
        <v>2173.4560779773101</v>
      </c>
      <c r="C412" s="12">
        <v>732.72187252365802</v>
      </c>
      <c r="D412" s="8">
        <v>1.56865335397619</v>
      </c>
      <c r="E412" s="12">
        <v>1.38745802491441E-2</v>
      </c>
      <c r="F412" s="8" t="s">
        <v>5792</v>
      </c>
      <c r="G412" s="12" t="s">
        <v>5793</v>
      </c>
      <c r="H412" s="12">
        <v>1</v>
      </c>
      <c r="I412" s="13" t="str">
        <f>HYPERLINK("http://www.ncbi.nlm.nih.gov/gene/7174", "7174")</f>
        <v>7174</v>
      </c>
      <c r="J412" s="13" t="str">
        <f>HYPERLINK("http://www.ncbi.nlm.nih.gov/nuccore/NM_003291", "NM_003291")</f>
        <v>NM_003291</v>
      </c>
      <c r="K412" s="12" t="s">
        <v>5794</v>
      </c>
      <c r="L412" s="13" t="str">
        <f>HYPERLINK("http://asia.ensembl.org/Homo_sapiens/Gene/Summary?g=ENSG00000134900", "ENSG00000134900")</f>
        <v>ENSG00000134900</v>
      </c>
      <c r="M412" s="12" t="s">
        <v>13907</v>
      </c>
      <c r="N412" s="12" t="s">
        <v>13908</v>
      </c>
    </row>
    <row r="413" spans="1:14">
      <c r="A413" s="12" t="s">
        <v>7661</v>
      </c>
      <c r="B413" s="8">
        <v>1088.2987158480801</v>
      </c>
      <c r="C413" s="12">
        <v>366.94807937340499</v>
      </c>
      <c r="D413" s="8">
        <v>1.56842675016355</v>
      </c>
      <c r="E413" s="12">
        <v>8.3029884758611396E-4</v>
      </c>
      <c r="F413" s="14" t="s">
        <v>7662</v>
      </c>
      <c r="G413" s="12" t="s">
        <v>7663</v>
      </c>
      <c r="H413" s="12">
        <v>1</v>
      </c>
      <c r="I413" s="13" t="str">
        <f>HYPERLINK("http://www.ncbi.nlm.nih.gov/gene/100124700", "100124700")</f>
        <v>100124700</v>
      </c>
      <c r="J413" s="12" t="s">
        <v>14506</v>
      </c>
      <c r="K413" s="12" t="s">
        <v>14507</v>
      </c>
      <c r="L413" s="13" t="str">
        <f>HYPERLINK("http://asia.ensembl.org/Homo_sapiens/Gene/Summary?g=ENSG00000228630", "ENSG00000228630")</f>
        <v>ENSG00000228630</v>
      </c>
      <c r="M413" s="12" t="s">
        <v>14508</v>
      </c>
    </row>
    <row r="414" spans="1:14">
      <c r="A414" s="12" t="s">
        <v>5030</v>
      </c>
      <c r="B414" s="8">
        <v>2774.4081963803701</v>
      </c>
      <c r="C414" s="12">
        <v>936.165881103007</v>
      </c>
      <c r="D414" s="8">
        <v>1.5673439742156201</v>
      </c>
      <c r="E414" s="12">
        <v>2.8446755197638601E-3</v>
      </c>
      <c r="F414" s="8" t="s">
        <v>5031</v>
      </c>
      <c r="G414" s="12" t="s">
        <v>5032</v>
      </c>
      <c r="H414" s="12">
        <v>1</v>
      </c>
      <c r="I414" s="13" t="str">
        <f>HYPERLINK("http://www.ncbi.nlm.nih.gov/gene/54536", "54536")</f>
        <v>54536</v>
      </c>
      <c r="J414" s="12" t="s">
        <v>13538</v>
      </c>
      <c r="K414" s="12" t="s">
        <v>13539</v>
      </c>
      <c r="L414" s="13" t="str">
        <f>HYPERLINK("http://asia.ensembl.org/Homo_sapiens/Gene/Summary?g=ENSG00000138190", "ENSG00000138190")</f>
        <v>ENSG00000138190</v>
      </c>
      <c r="M414" s="12" t="s">
        <v>13540</v>
      </c>
      <c r="N414" s="12" t="s">
        <v>13541</v>
      </c>
    </row>
    <row r="415" spans="1:14">
      <c r="A415" s="12" t="s">
        <v>5147</v>
      </c>
      <c r="B415" s="8">
        <v>248.256983666103</v>
      </c>
      <c r="C415" s="12">
        <v>83.892529305267104</v>
      </c>
      <c r="D415" s="8">
        <v>1.56522005409516</v>
      </c>
      <c r="E415" s="12">
        <v>4.8747089462441501E-4</v>
      </c>
      <c r="F415" s="8" t="s">
        <v>5148</v>
      </c>
      <c r="G415" s="12" t="s">
        <v>13609</v>
      </c>
      <c r="H415" s="12">
        <v>1</v>
      </c>
      <c r="I415" s="13" t="str">
        <f>HYPERLINK("http://www.ncbi.nlm.nih.gov/gene/55294", "55294")</f>
        <v>55294</v>
      </c>
      <c r="J415" s="12" t="s">
        <v>13610</v>
      </c>
      <c r="K415" s="12" t="s">
        <v>13611</v>
      </c>
      <c r="L415" s="13" t="str">
        <f>HYPERLINK("http://asia.ensembl.org/Homo_sapiens/Gene/Summary?g=ENSG00000109670", "ENSG00000109670")</f>
        <v>ENSG00000109670</v>
      </c>
      <c r="M415" s="12" t="s">
        <v>13612</v>
      </c>
      <c r="N415" s="12" t="s">
        <v>13613</v>
      </c>
    </row>
    <row r="416" spans="1:14">
      <c r="A416" s="12" t="s">
        <v>4611</v>
      </c>
      <c r="B416" s="8">
        <v>1338.0620352328999</v>
      </c>
      <c r="C416" s="12">
        <v>452.20035815746002</v>
      </c>
      <c r="D416" s="8">
        <v>1.5651109638941401</v>
      </c>
      <c r="E416" s="12">
        <v>1.3088292752346099E-3</v>
      </c>
      <c r="F416" s="8" t="s">
        <v>4612</v>
      </c>
      <c r="G416" s="12" t="s">
        <v>4613</v>
      </c>
      <c r="H416" s="12">
        <v>1</v>
      </c>
      <c r="I416" s="13" t="str">
        <f>HYPERLINK("http://www.ncbi.nlm.nih.gov/gene/84515", "84515")</f>
        <v>84515</v>
      </c>
      <c r="J416" s="12" t="s">
        <v>13313</v>
      </c>
      <c r="K416" s="12" t="s">
        <v>13314</v>
      </c>
      <c r="L416" s="13" t="str">
        <f>HYPERLINK("http://asia.ensembl.org/Homo_sapiens/Gene/Summary?g=ENSG00000125885", "ENSG00000125885")</f>
        <v>ENSG00000125885</v>
      </c>
      <c r="M416" s="12" t="s">
        <v>13315</v>
      </c>
      <c r="N416" s="12" t="s">
        <v>13316</v>
      </c>
    </row>
    <row r="417" spans="1:14">
      <c r="A417" s="12" t="s">
        <v>7328</v>
      </c>
      <c r="B417" s="8">
        <v>1885.0260613714099</v>
      </c>
      <c r="C417" s="12">
        <v>637.35870295762004</v>
      </c>
      <c r="D417" s="8">
        <v>1.56440702034585</v>
      </c>
      <c r="E417" s="12">
        <v>1.34857209265933E-2</v>
      </c>
      <c r="F417" s="8" t="s">
        <v>7329</v>
      </c>
      <c r="G417" s="12" t="s">
        <v>94</v>
      </c>
      <c r="H417" s="12">
        <v>1</v>
      </c>
      <c r="I417" s="13" t="str">
        <f>HYPERLINK("http://www.ncbi.nlm.nih.gov/gene/9015", "9015")</f>
        <v>9015</v>
      </c>
      <c r="J417" s="12" t="s">
        <v>14399</v>
      </c>
      <c r="K417" s="12" t="s">
        <v>14400</v>
      </c>
      <c r="L417" s="13" t="str">
        <f>HYPERLINK("http://asia.ensembl.org/Homo_sapiens/Gene/Summary?g=ENSG00000143498", "ENSG00000143498")</f>
        <v>ENSG00000143498</v>
      </c>
      <c r="M417" s="12" t="s">
        <v>14401</v>
      </c>
      <c r="N417" s="12" t="s">
        <v>14402</v>
      </c>
    </row>
    <row r="418" spans="1:14">
      <c r="A418" s="12" t="s">
        <v>10797</v>
      </c>
      <c r="B418" s="8">
        <v>24193.754624973</v>
      </c>
      <c r="C418" s="12">
        <v>8188.4124202244202</v>
      </c>
      <c r="D418" s="8">
        <v>1.5629790057605899</v>
      </c>
      <c r="E418" s="12">
        <v>1.2113976697947001E-2</v>
      </c>
      <c r="F418" s="8" t="s">
        <v>879</v>
      </c>
      <c r="G418" s="12" t="s">
        <v>880</v>
      </c>
      <c r="H418" s="12">
        <v>1</v>
      </c>
      <c r="I418" s="13" t="str">
        <f>HYPERLINK("http://www.ncbi.nlm.nih.gov/gene/81537", "81537")</f>
        <v>81537</v>
      </c>
      <c r="J418" s="13" t="str">
        <f>HYPERLINK("http://www.ncbi.nlm.nih.gov/nuccore/NM_030791", "NM_030791")</f>
        <v>NM_030791</v>
      </c>
      <c r="K418" s="12" t="s">
        <v>881</v>
      </c>
      <c r="L418" s="13" t="str">
        <f>HYPERLINK("http://asia.ensembl.org/Homo_sapiens/Gene/Summary?g=ENSG00000126821", "ENSG00000126821")</f>
        <v>ENSG00000126821</v>
      </c>
      <c r="M418" s="12" t="s">
        <v>882</v>
      </c>
      <c r="N418" s="12" t="s">
        <v>883</v>
      </c>
    </row>
    <row r="419" spans="1:14">
      <c r="A419" s="12" t="s">
        <v>3449</v>
      </c>
      <c r="B419" s="8">
        <v>2050.7894717742101</v>
      </c>
      <c r="C419" s="12">
        <v>694.20303913421401</v>
      </c>
      <c r="D419" s="8">
        <v>1.5627498102097599</v>
      </c>
      <c r="E419" s="12">
        <v>3.5783119612574602E-3</v>
      </c>
      <c r="F419" s="8" t="s">
        <v>3450</v>
      </c>
      <c r="G419" s="12" t="s">
        <v>3451</v>
      </c>
      <c r="H419" s="12">
        <v>1</v>
      </c>
      <c r="I419" s="13" t="str">
        <f>HYPERLINK("http://www.ncbi.nlm.nih.gov/gene/493869", "493869")</f>
        <v>493869</v>
      </c>
      <c r="J419" s="13" t="str">
        <f>HYPERLINK("http://www.ncbi.nlm.nih.gov/nuccore/NM_001008397", "NM_001008397")</f>
        <v>NM_001008397</v>
      </c>
      <c r="K419" s="12" t="s">
        <v>3452</v>
      </c>
      <c r="L419" s="13" t="str">
        <f>HYPERLINK("http://asia.ensembl.org/Homo_sapiens/Gene/Summary?g=ENSG00000164294", "ENSG00000164294")</f>
        <v>ENSG00000164294</v>
      </c>
      <c r="M419" s="12" t="s">
        <v>12993</v>
      </c>
      <c r="N419" s="12" t="s">
        <v>12994</v>
      </c>
    </row>
    <row r="420" spans="1:14">
      <c r="A420" s="12" t="s">
        <v>6489</v>
      </c>
      <c r="B420" s="8">
        <v>2683.0304535597402</v>
      </c>
      <c r="C420" s="12">
        <v>908.55351786372796</v>
      </c>
      <c r="D420" s="8">
        <v>1.56222002664379</v>
      </c>
      <c r="E420" s="12">
        <v>1.4908252531335099E-3</v>
      </c>
      <c r="F420" s="8" t="s">
        <v>6490</v>
      </c>
      <c r="G420" s="12" t="s">
        <v>6491</v>
      </c>
      <c r="H420" s="12">
        <v>1</v>
      </c>
      <c r="I420" s="13" t="str">
        <f>HYPERLINK("http://www.ncbi.nlm.nih.gov/gene/10403", "10403")</f>
        <v>10403</v>
      </c>
      <c r="J420" s="13" t="str">
        <f>HYPERLINK("http://www.ncbi.nlm.nih.gov/nuccore/NM_006101", "NM_006101")</f>
        <v>NM_006101</v>
      </c>
      <c r="K420" s="12" t="s">
        <v>6492</v>
      </c>
      <c r="L420" s="13" t="str">
        <f>HYPERLINK("http://asia.ensembl.org/Homo_sapiens/Gene/Summary?g=ENSG00000080986", "ENSG00000080986")</f>
        <v>ENSG00000080986</v>
      </c>
      <c r="M420" s="12" t="s">
        <v>14207</v>
      </c>
      <c r="N420" s="12" t="s">
        <v>14208</v>
      </c>
    </row>
    <row r="421" spans="1:14">
      <c r="A421" s="12" t="s">
        <v>5109</v>
      </c>
      <c r="B421" s="8">
        <v>2716.7018432729001</v>
      </c>
      <c r="C421" s="12">
        <v>920.00644074771697</v>
      </c>
      <c r="D421" s="8">
        <v>1.56214037287283</v>
      </c>
      <c r="E421" s="12">
        <v>4.0509228250209996E-3</v>
      </c>
      <c r="F421" s="8" t="s">
        <v>5110</v>
      </c>
      <c r="G421" s="12" t="s">
        <v>5111</v>
      </c>
      <c r="H421" s="12">
        <v>4</v>
      </c>
      <c r="I421" s="12" t="s">
        <v>5112</v>
      </c>
      <c r="J421" s="12" t="s">
        <v>13592</v>
      </c>
      <c r="K421" s="12" t="s">
        <v>13593</v>
      </c>
      <c r="L421" s="12" t="s">
        <v>5113</v>
      </c>
      <c r="M421" s="12" t="s">
        <v>13594</v>
      </c>
      <c r="N421" s="12" t="s">
        <v>13595</v>
      </c>
    </row>
    <row r="422" spans="1:14">
      <c r="A422" s="12" t="s">
        <v>6435</v>
      </c>
      <c r="B422" s="8">
        <v>1307.77403232083</v>
      </c>
      <c r="C422" s="12">
        <v>442.93856174106799</v>
      </c>
      <c r="D422" s="8">
        <v>1.56193477472007</v>
      </c>
      <c r="E422" s="12">
        <v>5.8918975402335204E-3</v>
      </c>
      <c r="F422" s="8" t="s">
        <v>6436</v>
      </c>
      <c r="G422" s="12" t="s">
        <v>6437</v>
      </c>
      <c r="H422" s="12">
        <v>1</v>
      </c>
      <c r="I422" s="13" t="str">
        <f>HYPERLINK("http://www.ncbi.nlm.nih.gov/gene/90233", "90233")</f>
        <v>90233</v>
      </c>
      <c r="J422" s="12" t="s">
        <v>14182</v>
      </c>
      <c r="K422" s="12" t="s">
        <v>14183</v>
      </c>
      <c r="L422" s="13" t="str">
        <f>HYPERLINK("http://asia.ensembl.org/Homo_sapiens/Gene/Summary?g=ENSG00000204519", "ENSG00000204519")</f>
        <v>ENSG00000204519</v>
      </c>
      <c r="M422" s="12" t="s">
        <v>14184</v>
      </c>
      <c r="N422" s="12" t="s">
        <v>14185</v>
      </c>
    </row>
    <row r="423" spans="1:14">
      <c r="A423" s="12" t="s">
        <v>8343</v>
      </c>
      <c r="B423" s="8">
        <v>14940.685007370001</v>
      </c>
      <c r="C423" s="12">
        <v>5060.5845623985897</v>
      </c>
      <c r="D423" s="8">
        <v>1.5618703455545699</v>
      </c>
      <c r="E423" s="12">
        <v>7.7608248174331502E-3</v>
      </c>
      <c r="F423" s="8" t="s">
        <v>675</v>
      </c>
      <c r="G423" s="12" t="s">
        <v>676</v>
      </c>
      <c r="H423" s="12">
        <v>1</v>
      </c>
      <c r="I423" s="13" t="str">
        <f>HYPERLINK("http://www.ncbi.nlm.nih.gov/gene/51186", "51186")</f>
        <v>51186</v>
      </c>
      <c r="J423" s="12" t="s">
        <v>14721</v>
      </c>
      <c r="K423" s="12" t="s">
        <v>14722</v>
      </c>
      <c r="L423" s="13" t="str">
        <f>HYPERLINK("http://asia.ensembl.org/Homo_sapiens/Gene/Summary?g=ENSG00000185222", "ENSG00000185222")</f>
        <v>ENSG00000185222</v>
      </c>
      <c r="M423" s="12" t="s">
        <v>14723</v>
      </c>
      <c r="N423" s="12" t="s">
        <v>14724</v>
      </c>
    </row>
    <row r="424" spans="1:14">
      <c r="A424" s="12" t="s">
        <v>2135</v>
      </c>
      <c r="B424" s="8">
        <v>220.70802784258501</v>
      </c>
      <c r="C424" s="12">
        <v>74.759383589137897</v>
      </c>
      <c r="D424" s="8">
        <v>1.5618125270682599</v>
      </c>
      <c r="E424" s="12">
        <v>9.5622129381750705E-4</v>
      </c>
      <c r="F424" s="8" t="s">
        <v>2136</v>
      </c>
      <c r="G424" s="12" t="s">
        <v>280</v>
      </c>
      <c r="H424" s="12">
        <v>1</v>
      </c>
      <c r="I424" s="13" t="str">
        <f>HYPERLINK("http://www.ncbi.nlm.nih.gov/gene/84541", "84541")</f>
        <v>84541</v>
      </c>
      <c r="J424" s="13" t="str">
        <f>HYPERLINK("http://www.ncbi.nlm.nih.gov/nuccore/NM_032505", "NM_032505")</f>
        <v>NM_032505</v>
      </c>
      <c r="K424" s="12" t="s">
        <v>2137</v>
      </c>
      <c r="L424" s="13" t="str">
        <f>HYPERLINK("http://asia.ensembl.org/Homo_sapiens/Gene/Summary?g=ENSG00000163376", "ENSG00000163376")</f>
        <v>ENSG00000163376</v>
      </c>
      <c r="M424" s="12" t="s">
        <v>12554</v>
      </c>
      <c r="N424" s="12" t="s">
        <v>12555</v>
      </c>
    </row>
    <row r="425" spans="1:14">
      <c r="A425" s="12" t="s">
        <v>10517</v>
      </c>
      <c r="B425" s="8">
        <v>768.20112791533097</v>
      </c>
      <c r="C425" s="12">
        <v>260.31346663986801</v>
      </c>
      <c r="D425" s="8">
        <v>1.56123413436841</v>
      </c>
      <c r="E425" s="12">
        <v>3.2656874292786302E-3</v>
      </c>
      <c r="F425" s="8" t="s">
        <v>3958</v>
      </c>
      <c r="G425" s="12" t="s">
        <v>15514</v>
      </c>
      <c r="H425" s="12">
        <v>1</v>
      </c>
      <c r="I425" s="13" t="str">
        <f>HYPERLINK("http://www.ncbi.nlm.nih.gov/gene/92", "92")</f>
        <v>92</v>
      </c>
      <c r="J425" s="13" t="str">
        <f>HYPERLINK("http://www.ncbi.nlm.nih.gov/nuccore/NM_001616", "NM_001616")</f>
        <v>NM_001616</v>
      </c>
      <c r="K425" s="12" t="s">
        <v>3959</v>
      </c>
      <c r="L425" s="13" t="str">
        <f>HYPERLINK("http://asia.ensembl.org/Homo_sapiens/Gene/Summary?g=ENSG00000121989", "ENSG00000121989")</f>
        <v>ENSG00000121989</v>
      </c>
      <c r="M425" s="12" t="s">
        <v>15515</v>
      </c>
      <c r="N425" s="12" t="s">
        <v>15516</v>
      </c>
    </row>
    <row r="426" spans="1:14">
      <c r="A426" s="12" t="s">
        <v>8423</v>
      </c>
      <c r="B426" s="8">
        <v>2155.79568725852</v>
      </c>
      <c r="C426" s="12">
        <v>731.31282798507698</v>
      </c>
      <c r="D426" s="8">
        <v>1.5596598812900999</v>
      </c>
      <c r="E426" s="12">
        <v>1.33183084927701E-3</v>
      </c>
      <c r="F426" s="8" t="s">
        <v>8424</v>
      </c>
      <c r="G426" s="12" t="s">
        <v>8425</v>
      </c>
      <c r="H426" s="12">
        <v>1</v>
      </c>
      <c r="I426" s="13" t="str">
        <f>HYPERLINK("http://www.ncbi.nlm.nih.gov/gene/27253", "27253")</f>
        <v>27253</v>
      </c>
      <c r="J426" s="13" t="str">
        <f>HYPERLINK("http://www.ncbi.nlm.nih.gov/nuccore/NM_001040429", "NM_001040429")</f>
        <v>NM_001040429</v>
      </c>
      <c r="K426" s="12" t="s">
        <v>8426</v>
      </c>
      <c r="L426" s="13" t="str">
        <f>HYPERLINK("http://asia.ensembl.org/Homo_sapiens/Gene/Summary?g=ENSG00000118946", "ENSG00000118946")</f>
        <v>ENSG00000118946</v>
      </c>
      <c r="M426" s="12" t="s">
        <v>14742</v>
      </c>
      <c r="N426" s="12" t="s">
        <v>14743</v>
      </c>
    </row>
    <row r="427" spans="1:14">
      <c r="A427" s="12" t="s">
        <v>1586</v>
      </c>
      <c r="B427" s="8">
        <v>1865.6538586104</v>
      </c>
      <c r="C427" s="12">
        <v>632.92633936125003</v>
      </c>
      <c r="D427" s="8">
        <v>1.5595718305234501</v>
      </c>
      <c r="E427" s="12">
        <v>8.7764445978827203E-4</v>
      </c>
      <c r="F427" s="8" t="s">
        <v>1587</v>
      </c>
      <c r="G427" s="12" t="s">
        <v>12368</v>
      </c>
      <c r="H427" s="12">
        <v>1</v>
      </c>
      <c r="I427" s="13" t="str">
        <f>HYPERLINK("http://www.ncbi.nlm.nih.gov/gene/9787", "9787")</f>
        <v>9787</v>
      </c>
      <c r="J427" s="12" t="s">
        <v>12369</v>
      </c>
      <c r="K427" s="12" t="s">
        <v>12370</v>
      </c>
      <c r="L427" s="13" t="str">
        <f>HYPERLINK("http://asia.ensembl.org/Homo_sapiens/Gene/Summary?g=ENSG00000126787", "ENSG00000126787")</f>
        <v>ENSG00000126787</v>
      </c>
      <c r="M427" s="12" t="s">
        <v>12371</v>
      </c>
      <c r="N427" s="12" t="s">
        <v>12372</v>
      </c>
    </row>
    <row r="428" spans="1:14">
      <c r="A428" s="12" t="s">
        <v>10891</v>
      </c>
      <c r="B428" s="8">
        <v>875.34597544419296</v>
      </c>
      <c r="C428" s="12">
        <v>297.05318905309201</v>
      </c>
      <c r="D428" s="8">
        <v>1.55913206968944</v>
      </c>
      <c r="E428" s="12">
        <v>9.4086201476728405E-3</v>
      </c>
      <c r="F428" s="8" t="s">
        <v>10892</v>
      </c>
      <c r="G428" s="12" t="s">
        <v>10893</v>
      </c>
      <c r="H428" s="12">
        <v>1</v>
      </c>
      <c r="I428" s="13" t="str">
        <f>HYPERLINK("http://www.ncbi.nlm.nih.gov/gene/8857", "8857")</f>
        <v>8857</v>
      </c>
      <c r="J428" s="13" t="str">
        <f>HYPERLINK("http://www.ncbi.nlm.nih.gov/nuccore/NM_003890", "NM_003890")</f>
        <v>NM_003890</v>
      </c>
      <c r="K428" s="12" t="s">
        <v>10894</v>
      </c>
      <c r="L428" s="13" t="str">
        <f>HYPERLINK("http://asia.ensembl.org/Homo_sapiens/Gene/Summary?g=ENSG00000281123", "ENSG00000281123")</f>
        <v>ENSG00000281123</v>
      </c>
      <c r="M428" s="12" t="s">
        <v>10895</v>
      </c>
      <c r="N428" s="12" t="s">
        <v>10896</v>
      </c>
    </row>
    <row r="429" spans="1:14">
      <c r="A429" s="12" t="s">
        <v>5106</v>
      </c>
      <c r="B429" s="8">
        <v>3077.16878652183</v>
      </c>
      <c r="C429" s="12">
        <v>1044.8023204631299</v>
      </c>
      <c r="D429" s="8">
        <v>1.5583735732858199</v>
      </c>
      <c r="E429" s="12">
        <v>1.8203332132492201E-3</v>
      </c>
      <c r="F429" s="8" t="s">
        <v>5107</v>
      </c>
      <c r="G429" s="12" t="s">
        <v>13589</v>
      </c>
      <c r="H429" s="12">
        <v>1</v>
      </c>
      <c r="I429" s="13" t="str">
        <f>HYPERLINK("http://www.ncbi.nlm.nih.gov/gene/10257", "10257")</f>
        <v>10257</v>
      </c>
      <c r="J429" s="13" t="str">
        <f>HYPERLINK("http://www.ncbi.nlm.nih.gov/nuccore/NM_005845", "NM_005845")</f>
        <v>NM_005845</v>
      </c>
      <c r="K429" s="12" t="s">
        <v>5108</v>
      </c>
      <c r="L429" s="13" t="str">
        <f>HYPERLINK("http://asia.ensembl.org/Homo_sapiens/Gene/Summary?g=ENSG00000125257", "ENSG00000125257")</f>
        <v>ENSG00000125257</v>
      </c>
      <c r="M429" s="12" t="s">
        <v>13590</v>
      </c>
      <c r="N429" s="12" t="s">
        <v>13591</v>
      </c>
    </row>
    <row r="430" spans="1:14">
      <c r="A430" s="12" t="s">
        <v>7274</v>
      </c>
      <c r="B430" s="8">
        <v>2195.3109213205698</v>
      </c>
      <c r="C430" s="12">
        <v>746.54409420449394</v>
      </c>
      <c r="D430" s="8">
        <v>1.5561259028034</v>
      </c>
      <c r="E430" s="12">
        <v>1.80606076618762E-3</v>
      </c>
      <c r="F430" s="8" t="s">
        <v>7275</v>
      </c>
      <c r="G430" s="12" t="s">
        <v>14383</v>
      </c>
      <c r="H430" s="12">
        <v>1</v>
      </c>
      <c r="I430" s="13" t="str">
        <f>HYPERLINK("http://www.ncbi.nlm.nih.gov/gene/123169", "123169")</f>
        <v>123169</v>
      </c>
      <c r="J430" s="13" t="str">
        <f>HYPERLINK("http://www.ncbi.nlm.nih.gov/nuccore/NM_138792", "NM_138792")</f>
        <v>NM_138792</v>
      </c>
      <c r="K430" s="12" t="s">
        <v>7276</v>
      </c>
      <c r="L430" s="13" t="str">
        <f>HYPERLINK("http://asia.ensembl.org/Homo_sapiens/Gene/Summary?g=ENSG00000166477", "ENSG00000166477")</f>
        <v>ENSG00000166477</v>
      </c>
      <c r="M430" s="12" t="s">
        <v>14384</v>
      </c>
      <c r="N430" s="12" t="s">
        <v>14385</v>
      </c>
    </row>
    <row r="431" spans="1:14">
      <c r="A431" s="12" t="s">
        <v>3960</v>
      </c>
      <c r="B431" s="8">
        <v>417.83766453904701</v>
      </c>
      <c r="C431" s="12">
        <v>142.13752162107201</v>
      </c>
      <c r="D431" s="8">
        <v>1.55565509594961</v>
      </c>
      <c r="E431" s="12">
        <v>3.8920314386393E-3</v>
      </c>
      <c r="F431" s="8" t="s">
        <v>3961</v>
      </c>
      <c r="G431" s="12" t="s">
        <v>3962</v>
      </c>
      <c r="H431" s="12">
        <v>1</v>
      </c>
      <c r="I431" s="13" t="str">
        <f>HYPERLINK("http://www.ncbi.nlm.nih.gov/gene/199704", "199704")</f>
        <v>199704</v>
      </c>
      <c r="J431" s="12" t="s">
        <v>13136</v>
      </c>
      <c r="K431" s="12" t="s">
        <v>13137</v>
      </c>
      <c r="L431" s="13" t="str">
        <f>HYPERLINK("http://asia.ensembl.org/Homo_sapiens/Gene/Summary?g=ENSG00000196967", "ENSG00000196967")</f>
        <v>ENSG00000196967</v>
      </c>
      <c r="M431" s="12" t="s">
        <v>13138</v>
      </c>
      <c r="N431" s="12" t="s">
        <v>13139</v>
      </c>
    </row>
    <row r="432" spans="1:14">
      <c r="A432" s="12" t="s">
        <v>4308</v>
      </c>
      <c r="B432" s="8">
        <v>3042.9700971983898</v>
      </c>
      <c r="C432" s="12">
        <v>1035.56064416818</v>
      </c>
      <c r="D432" s="8">
        <v>1.55506811410505</v>
      </c>
      <c r="E432" s="12">
        <v>2.3436683441500701E-3</v>
      </c>
      <c r="F432" s="8" t="s">
        <v>4309</v>
      </c>
      <c r="G432" s="12" t="s">
        <v>13188</v>
      </c>
      <c r="H432" s="12">
        <v>1</v>
      </c>
      <c r="I432" s="13" t="str">
        <f>HYPERLINK("http://www.ncbi.nlm.nih.gov/gene/4124", "4124")</f>
        <v>4124</v>
      </c>
      <c r="J432" s="13" t="str">
        <f>HYPERLINK("http://www.ncbi.nlm.nih.gov/nuccore/NM_002372", "NM_002372")</f>
        <v>NM_002372</v>
      </c>
      <c r="K432" s="12" t="s">
        <v>4310</v>
      </c>
      <c r="L432" s="13" t="str">
        <f>HYPERLINK("http://asia.ensembl.org/Homo_sapiens/Gene/Summary?g=ENSG00000112893", "ENSG00000112893")</f>
        <v>ENSG00000112893</v>
      </c>
      <c r="M432" s="12" t="s">
        <v>13189</v>
      </c>
      <c r="N432" s="12" t="s">
        <v>4311</v>
      </c>
    </row>
    <row r="433" spans="1:14">
      <c r="A433" s="12" t="s">
        <v>6081</v>
      </c>
      <c r="B433" s="8">
        <v>263.133765359157</v>
      </c>
      <c r="C433" s="12">
        <v>89.645310683770703</v>
      </c>
      <c r="D433" s="8">
        <v>1.5534963639139301</v>
      </c>
      <c r="E433" s="12">
        <v>3.4863352807123099E-3</v>
      </c>
      <c r="F433" s="8" t="s">
        <v>6082</v>
      </c>
      <c r="G433" s="12" t="s">
        <v>14034</v>
      </c>
      <c r="H433" s="12">
        <v>1</v>
      </c>
      <c r="I433" s="13" t="str">
        <f>HYPERLINK("http://www.ncbi.nlm.nih.gov/gene/5788", "5788")</f>
        <v>5788</v>
      </c>
      <c r="J433" s="12" t="s">
        <v>14035</v>
      </c>
      <c r="K433" s="12" t="s">
        <v>14036</v>
      </c>
      <c r="L433" s="13" t="str">
        <f>HYPERLINK("http://asia.ensembl.org/Homo_sapiens/Gene/Summary?g=ENSG00000081237", "ENSG00000081237")</f>
        <v>ENSG00000081237</v>
      </c>
      <c r="M433" s="12" t="s">
        <v>14037</v>
      </c>
      <c r="N433" s="12" t="s">
        <v>14038</v>
      </c>
    </row>
    <row r="434" spans="1:14">
      <c r="A434" s="12" t="s">
        <v>4918</v>
      </c>
      <c r="B434" s="8">
        <v>247.87940628611699</v>
      </c>
      <c r="C434" s="12">
        <v>84.489636693307105</v>
      </c>
      <c r="D434" s="8">
        <v>1.5527921182567199</v>
      </c>
      <c r="E434" s="12">
        <v>6.8111204661326695E-4</v>
      </c>
      <c r="F434" s="8" t="s">
        <v>4919</v>
      </c>
      <c r="G434" s="12" t="s">
        <v>13470</v>
      </c>
      <c r="H434" s="12">
        <v>1</v>
      </c>
      <c r="I434" s="13" t="str">
        <f>HYPERLINK("http://www.ncbi.nlm.nih.gov/gene/1293", "1293")</f>
        <v>1293</v>
      </c>
      <c r="J434" s="12" t="s">
        <v>13471</v>
      </c>
      <c r="K434" s="12" t="s">
        <v>13472</v>
      </c>
      <c r="L434" s="13" t="str">
        <f>HYPERLINK("http://asia.ensembl.org/Homo_sapiens/Gene/Summary?g=ENSG00000163359", "ENSG00000163359")</f>
        <v>ENSG00000163359</v>
      </c>
      <c r="M434" s="12" t="s">
        <v>13473</v>
      </c>
      <c r="N434" s="12" t="s">
        <v>13474</v>
      </c>
    </row>
    <row r="435" spans="1:14">
      <c r="A435" s="12" t="s">
        <v>9703</v>
      </c>
      <c r="B435" s="8">
        <v>9608.1259254338202</v>
      </c>
      <c r="C435" s="12">
        <v>3278.7069135405</v>
      </c>
      <c r="D435" s="8">
        <v>1.55112811559756</v>
      </c>
      <c r="E435" s="12">
        <v>5.01755331835775E-3</v>
      </c>
      <c r="F435" s="8" t="s">
        <v>9704</v>
      </c>
      <c r="G435" s="12" t="s">
        <v>15168</v>
      </c>
      <c r="H435" s="12">
        <v>1</v>
      </c>
      <c r="I435" s="13" t="str">
        <f>HYPERLINK("http://www.ncbi.nlm.nih.gov/gene/5937", "5937")</f>
        <v>5937</v>
      </c>
      <c r="J435" s="12" t="s">
        <v>15169</v>
      </c>
      <c r="K435" s="12" t="s">
        <v>15170</v>
      </c>
      <c r="L435" s="13" t="str">
        <f>HYPERLINK("http://asia.ensembl.org/Homo_sapiens/Gene/Summary?g=ENSG00000153250", "ENSG00000153250")</f>
        <v>ENSG00000153250</v>
      </c>
      <c r="M435" s="12" t="s">
        <v>15171</v>
      </c>
      <c r="N435" s="12" t="s">
        <v>15172</v>
      </c>
    </row>
    <row r="436" spans="1:14">
      <c r="A436" s="12" t="s">
        <v>10398</v>
      </c>
      <c r="B436" s="8">
        <v>170.47159721847001</v>
      </c>
      <c r="C436" s="12">
        <v>58.192344713519297</v>
      </c>
      <c r="D436" s="8">
        <v>1.5506301054207301</v>
      </c>
      <c r="E436" s="12">
        <v>1.18693704368941E-2</v>
      </c>
      <c r="F436" s="8" t="s">
        <v>10399</v>
      </c>
      <c r="G436" s="12" t="s">
        <v>10400</v>
      </c>
      <c r="H436" s="12">
        <v>1</v>
      </c>
      <c r="I436" s="13" t="str">
        <f>HYPERLINK("http://www.ncbi.nlm.nih.gov/gene/729665", "729665")</f>
        <v>729665</v>
      </c>
      <c r="J436" s="13" t="str">
        <f>HYPERLINK("http://www.ncbi.nlm.nih.gov/nuccore/NM_001164399", "NM_001164399")</f>
        <v>NM_001164399</v>
      </c>
      <c r="K436" s="12" t="s">
        <v>10401</v>
      </c>
      <c r="L436" s="13" t="str">
        <f>HYPERLINK("http://asia.ensembl.org/Homo_sapiens/Gene/Summary?g=ENSG00000151838", "ENSG00000151838")</f>
        <v>ENSG00000151838</v>
      </c>
      <c r="M436" s="12" t="s">
        <v>15420</v>
      </c>
      <c r="N436" s="12" t="s">
        <v>15421</v>
      </c>
    </row>
    <row r="437" spans="1:14">
      <c r="A437" s="12" t="s">
        <v>8603</v>
      </c>
      <c r="B437" s="8">
        <v>3240.5205875950501</v>
      </c>
      <c r="C437" s="12">
        <v>1106.4966048670201</v>
      </c>
      <c r="D437" s="8">
        <v>1.5502265753458999</v>
      </c>
      <c r="E437" s="12">
        <v>3.4176437768524302E-3</v>
      </c>
      <c r="F437" s="8" t="s">
        <v>5427</v>
      </c>
      <c r="G437" s="12" t="s">
        <v>14786</v>
      </c>
      <c r="H437" s="12">
        <v>1</v>
      </c>
      <c r="I437" s="13" t="str">
        <f>HYPERLINK("http://www.ncbi.nlm.nih.gov/gene/50807", "50807")</f>
        <v>50807</v>
      </c>
      <c r="J437" s="12" t="s">
        <v>14787</v>
      </c>
      <c r="K437" s="12" t="s">
        <v>14788</v>
      </c>
      <c r="L437" s="13" t="str">
        <f>HYPERLINK("http://asia.ensembl.org/Homo_sapiens/Gene/Summary?g=ENSG00000153317", "ENSG00000153317")</f>
        <v>ENSG00000153317</v>
      </c>
      <c r="M437" s="12" t="s">
        <v>14789</v>
      </c>
      <c r="N437" s="12" t="s">
        <v>14790</v>
      </c>
    </row>
    <row r="438" spans="1:14">
      <c r="A438" s="12" t="s">
        <v>11257</v>
      </c>
      <c r="B438" s="8">
        <v>634.61636953190498</v>
      </c>
      <c r="C438" s="12">
        <v>216.72786310814499</v>
      </c>
      <c r="D438" s="8">
        <v>1.55000009309965</v>
      </c>
      <c r="E438" s="12">
        <v>2.2970186547455001E-3</v>
      </c>
      <c r="F438" s="8" t="s">
        <v>38</v>
      </c>
      <c r="G438" s="12" t="s">
        <v>38</v>
      </c>
      <c r="H438" s="12">
        <v>1</v>
      </c>
      <c r="I438" s="12" t="s">
        <v>38</v>
      </c>
      <c r="J438" s="12" t="s">
        <v>38</v>
      </c>
      <c r="K438" s="12" t="s">
        <v>38</v>
      </c>
      <c r="L438" s="13" t="str">
        <f>HYPERLINK("http://asia.ensembl.org/Homo_sapiens/Gene/Summary?g=ENSG00000116473", "ENSG00000116473")</f>
        <v>ENSG00000116473</v>
      </c>
      <c r="M438" s="12" t="s">
        <v>11258</v>
      </c>
      <c r="N438" s="12" t="s">
        <v>16067</v>
      </c>
    </row>
    <row r="439" spans="1:14">
      <c r="A439" s="12" t="s">
        <v>1499</v>
      </c>
      <c r="B439" s="8">
        <v>3371.7124863214399</v>
      </c>
      <c r="C439" s="12">
        <v>1151.73312717355</v>
      </c>
      <c r="D439" s="8">
        <v>1.5496750569059901</v>
      </c>
      <c r="E439" s="12">
        <v>3.3266077531829098E-3</v>
      </c>
      <c r="F439" s="8" t="s">
        <v>1500</v>
      </c>
      <c r="G439" s="12" t="s">
        <v>1501</v>
      </c>
      <c r="H439" s="12">
        <v>1</v>
      </c>
      <c r="I439" s="13" t="str">
        <f>HYPERLINK("http://www.ncbi.nlm.nih.gov/gene/29889", "29889")</f>
        <v>29889</v>
      </c>
      <c r="J439" s="13" t="str">
        <f>HYPERLINK("http://www.ncbi.nlm.nih.gov/nuccore/NM_013285", "NM_013285")</f>
        <v>NM_013285</v>
      </c>
      <c r="K439" s="12" t="s">
        <v>1502</v>
      </c>
      <c r="L439" s="13" t="str">
        <f>HYPERLINK("http://asia.ensembl.org/Homo_sapiens/Gene/Summary?g=ENSG00000134697", "ENSG00000134697")</f>
        <v>ENSG00000134697</v>
      </c>
      <c r="M439" s="12" t="s">
        <v>12342</v>
      </c>
      <c r="N439" s="12" t="s">
        <v>12343</v>
      </c>
    </row>
    <row r="440" spans="1:14">
      <c r="A440" s="12" t="s">
        <v>9835</v>
      </c>
      <c r="B440" s="8">
        <v>922.70382246183601</v>
      </c>
      <c r="C440" s="12">
        <v>315.45330919552401</v>
      </c>
      <c r="D440" s="8">
        <v>1.54844114815944</v>
      </c>
      <c r="E440" s="12">
        <v>3.3746124581191198E-3</v>
      </c>
      <c r="F440" s="8" t="s">
        <v>2643</v>
      </c>
      <c r="G440" s="12" t="s">
        <v>2644</v>
      </c>
      <c r="H440" s="12">
        <v>1</v>
      </c>
      <c r="I440" s="13" t="str">
        <f>HYPERLINK("http://www.ncbi.nlm.nih.gov/gene/9824", "9824")</f>
        <v>9824</v>
      </c>
      <c r="J440" s="13" t="str">
        <f>HYPERLINK("http://www.ncbi.nlm.nih.gov/nuccore/NM_199357", "NM_199357")</f>
        <v>NM_199357</v>
      </c>
      <c r="K440" s="12" t="s">
        <v>9836</v>
      </c>
      <c r="L440" s="13" t="str">
        <f>HYPERLINK("http://asia.ensembl.org/Homo_sapiens/Gene/Summary?g=ENSG00000198826", "ENSG00000198826")</f>
        <v>ENSG00000198826</v>
      </c>
      <c r="M440" s="12" t="s">
        <v>12728</v>
      </c>
      <c r="N440" s="12" t="s">
        <v>12729</v>
      </c>
    </row>
    <row r="441" spans="1:14">
      <c r="A441" s="12" t="s">
        <v>10641</v>
      </c>
      <c r="B441" s="8">
        <v>4828.9988460254199</v>
      </c>
      <c r="C441" s="12">
        <v>1651.1621280346101</v>
      </c>
      <c r="D441" s="8">
        <v>1.5482423329491399</v>
      </c>
      <c r="E441" s="12">
        <v>8.3526492553468801E-4</v>
      </c>
      <c r="F441" s="8" t="s">
        <v>3218</v>
      </c>
      <c r="G441" s="12" t="s">
        <v>3219</v>
      </c>
      <c r="H441" s="12">
        <v>1</v>
      </c>
      <c r="I441" s="13" t="str">
        <f>HYPERLINK("http://www.ncbi.nlm.nih.gov/gene/28982", "28982")</f>
        <v>28982</v>
      </c>
      <c r="J441" s="13" t="str">
        <f>HYPERLINK("http://www.ncbi.nlm.nih.gov/nuccore/NM_014053", "NM_014053")</f>
        <v>NM_014053</v>
      </c>
      <c r="K441" s="12" t="s">
        <v>3220</v>
      </c>
      <c r="L441" s="13" t="str">
        <f>HYPERLINK("http://asia.ensembl.org/Homo_sapiens/Gene/Summary?g=ENSG00000162769", "ENSG00000162769")</f>
        <v>ENSG00000162769</v>
      </c>
      <c r="M441" s="12" t="s">
        <v>15658</v>
      </c>
      <c r="N441" s="12" t="s">
        <v>15659</v>
      </c>
    </row>
    <row r="442" spans="1:14">
      <c r="A442" s="12" t="s">
        <v>4687</v>
      </c>
      <c r="B442" s="8">
        <v>1354.29081360591</v>
      </c>
      <c r="C442" s="12">
        <v>463.09457777327299</v>
      </c>
      <c r="D442" s="8">
        <v>1.54815879906839</v>
      </c>
      <c r="E442" s="12">
        <v>2.7470380003176299E-3</v>
      </c>
      <c r="F442" s="8" t="s">
        <v>4688</v>
      </c>
      <c r="G442" s="12" t="s">
        <v>4689</v>
      </c>
      <c r="H442" s="12">
        <v>1</v>
      </c>
      <c r="I442" s="13" t="str">
        <f>HYPERLINK("http://www.ncbi.nlm.nih.gov/gene/24149", "24149")</f>
        <v>24149</v>
      </c>
      <c r="J442" s="13" t="str">
        <f>HYPERLINK("http://www.ncbi.nlm.nih.gov/nuccore/NM_014345", "NM_014345")</f>
        <v>NM_014345</v>
      </c>
      <c r="K442" s="12" t="s">
        <v>4690</v>
      </c>
      <c r="L442" s="13" t="str">
        <f>HYPERLINK("http://asia.ensembl.org/Homo_sapiens/Gene/Summary?g=ENSG00000171467", "ENSG00000171467")</f>
        <v>ENSG00000171467</v>
      </c>
      <c r="M442" s="12" t="s">
        <v>13350</v>
      </c>
      <c r="N442" s="12" t="s">
        <v>13351</v>
      </c>
    </row>
    <row r="443" spans="1:14">
      <c r="A443" s="12" t="s">
        <v>5009</v>
      </c>
      <c r="B443" s="8">
        <v>896.77074519559301</v>
      </c>
      <c r="C443" s="12">
        <v>306.66924214805101</v>
      </c>
      <c r="D443" s="8">
        <v>1.5480557381555</v>
      </c>
      <c r="E443" s="12">
        <v>9.3022982426934492E-3</v>
      </c>
      <c r="F443" s="8" t="s">
        <v>5010</v>
      </c>
      <c r="G443" s="12" t="s">
        <v>5011</v>
      </c>
      <c r="H443" s="12">
        <v>1</v>
      </c>
      <c r="I443" s="13" t="str">
        <f>HYPERLINK("http://www.ncbi.nlm.nih.gov/gene/55153", "55153")</f>
        <v>55153</v>
      </c>
      <c r="J443" s="13" t="str">
        <f>HYPERLINK("http://www.ncbi.nlm.nih.gov/nuccore/NM_018115", "NM_018115")</f>
        <v>NM_018115</v>
      </c>
      <c r="K443" s="12" t="s">
        <v>5012</v>
      </c>
      <c r="L443" s="13" t="str">
        <f>HYPERLINK("http://asia.ensembl.org/Homo_sapiens/Gene/Summary?g=ENSG00000198301", "ENSG00000198301")</f>
        <v>ENSG00000198301</v>
      </c>
      <c r="M443" s="12" t="s">
        <v>13524</v>
      </c>
      <c r="N443" s="12" t="s">
        <v>13525</v>
      </c>
    </row>
    <row r="444" spans="1:14">
      <c r="A444" s="12" t="s">
        <v>5027</v>
      </c>
      <c r="B444" s="8">
        <v>7591.9666533304699</v>
      </c>
      <c r="C444" s="12">
        <v>2596.3927195092701</v>
      </c>
      <c r="D444" s="8">
        <v>1.54796503967032</v>
      </c>
      <c r="E444" s="12">
        <v>3.1331041716175798E-3</v>
      </c>
      <c r="F444" s="8" t="s">
        <v>5028</v>
      </c>
      <c r="G444" s="12" t="s">
        <v>5029</v>
      </c>
      <c r="H444" s="12">
        <v>1</v>
      </c>
      <c r="I444" s="13" t="str">
        <f>HYPERLINK("http://www.ncbi.nlm.nih.gov/gene/51088", "51088")</f>
        <v>51088</v>
      </c>
      <c r="J444" s="12" t="s">
        <v>13534</v>
      </c>
      <c r="K444" s="12" t="s">
        <v>13535</v>
      </c>
      <c r="L444" s="13" t="str">
        <f>HYPERLINK("http://asia.ensembl.org/Homo_sapiens/Gene/Summary?g=ENSG00000109790", "ENSG00000109790")</f>
        <v>ENSG00000109790</v>
      </c>
      <c r="M444" s="12" t="s">
        <v>13536</v>
      </c>
      <c r="N444" s="12" t="s">
        <v>13537</v>
      </c>
    </row>
    <row r="445" spans="1:14">
      <c r="A445" s="12" t="s">
        <v>1023</v>
      </c>
      <c r="B445" s="8">
        <v>13720.3172508473</v>
      </c>
      <c r="C445" s="12">
        <v>4693.4887749968002</v>
      </c>
      <c r="D445" s="8">
        <v>1.5475812268578899</v>
      </c>
      <c r="E445" s="12">
        <v>1.01909946927935E-2</v>
      </c>
      <c r="F445" s="8" t="s">
        <v>1024</v>
      </c>
      <c r="G445" s="12" t="s">
        <v>12199</v>
      </c>
      <c r="H445" s="12">
        <v>1</v>
      </c>
      <c r="I445" s="13" t="str">
        <f>HYPERLINK("http://www.ncbi.nlm.nih.gov/gene/1203", "1203")</f>
        <v>1203</v>
      </c>
      <c r="J445" s="13" t="str">
        <f>HYPERLINK("http://www.ncbi.nlm.nih.gov/nuccore/NM_006493", "NM_006493")</f>
        <v>NM_006493</v>
      </c>
      <c r="K445" s="12" t="s">
        <v>1025</v>
      </c>
      <c r="L445" s="13" t="str">
        <f>HYPERLINK("http://asia.ensembl.org/Homo_sapiens/Gene/Summary?g=ENSG00000102805", "ENSG00000102805")</f>
        <v>ENSG00000102805</v>
      </c>
      <c r="M445" s="12" t="s">
        <v>12200</v>
      </c>
      <c r="N445" s="12" t="s">
        <v>12201</v>
      </c>
    </row>
    <row r="446" spans="1:14">
      <c r="A446" s="12" t="s">
        <v>1393</v>
      </c>
      <c r="B446" s="8">
        <v>6968.6417551562699</v>
      </c>
      <c r="C446" s="12">
        <v>2384.7724429398399</v>
      </c>
      <c r="D446" s="8">
        <v>1.5470258809363999</v>
      </c>
      <c r="E446" s="12">
        <v>4.0198391592997798E-3</v>
      </c>
      <c r="F446" s="8" t="s">
        <v>1394</v>
      </c>
      <c r="G446" s="12" t="s">
        <v>1395</v>
      </c>
      <c r="H446" s="12">
        <v>1</v>
      </c>
      <c r="I446" s="13" t="str">
        <f>HYPERLINK("http://www.ncbi.nlm.nih.gov/gene/5586", "5586")</f>
        <v>5586</v>
      </c>
      <c r="J446" s="13" t="str">
        <f>HYPERLINK("http://www.ncbi.nlm.nih.gov/nuccore/NM_006256", "NM_006256")</f>
        <v>NM_006256</v>
      </c>
      <c r="K446" s="12" t="s">
        <v>1396</v>
      </c>
      <c r="L446" s="13" t="str">
        <f>HYPERLINK("http://asia.ensembl.org/Homo_sapiens/Gene/Summary?g=ENSG00000065243", "ENSG00000065243")</f>
        <v>ENSG00000065243</v>
      </c>
      <c r="M446" s="12" t="s">
        <v>12324</v>
      </c>
      <c r="N446" s="12" t="s">
        <v>12325</v>
      </c>
    </row>
    <row r="447" spans="1:14">
      <c r="A447" s="12" t="s">
        <v>2458</v>
      </c>
      <c r="B447" s="8">
        <v>623.26419942228404</v>
      </c>
      <c r="C447" s="12">
        <v>213.342162991404</v>
      </c>
      <c r="D447" s="8">
        <v>1.54667473117969</v>
      </c>
      <c r="E447" s="12">
        <v>1.4586954831005601E-3</v>
      </c>
      <c r="F447" s="8" t="s">
        <v>2459</v>
      </c>
      <c r="G447" s="12" t="s">
        <v>12652</v>
      </c>
      <c r="H447" s="12">
        <v>1</v>
      </c>
      <c r="I447" s="13" t="str">
        <f>HYPERLINK("http://www.ncbi.nlm.nih.gov/gene/8821", "8821")</f>
        <v>8821</v>
      </c>
      <c r="J447" s="12" t="s">
        <v>12653</v>
      </c>
      <c r="K447" s="12" t="s">
        <v>12654</v>
      </c>
      <c r="L447" s="13" t="str">
        <f>HYPERLINK("http://asia.ensembl.org/Homo_sapiens/Gene/Summary?g=ENSG00000109452", "ENSG00000109452")</f>
        <v>ENSG00000109452</v>
      </c>
      <c r="M447" s="12" t="s">
        <v>12655</v>
      </c>
      <c r="N447" s="12" t="s">
        <v>12656</v>
      </c>
    </row>
    <row r="448" spans="1:14">
      <c r="A448" s="12" t="s">
        <v>11617</v>
      </c>
      <c r="B448" s="8">
        <v>6956.7247106986497</v>
      </c>
      <c r="C448" s="12">
        <v>2384.4941700702302</v>
      </c>
      <c r="D448" s="8">
        <v>1.5447249765214499</v>
      </c>
      <c r="E448" s="12">
        <v>1.59039486765257E-3</v>
      </c>
      <c r="F448" s="8" t="s">
        <v>11618</v>
      </c>
      <c r="G448" s="12" t="s">
        <v>11619</v>
      </c>
      <c r="H448" s="12">
        <v>1</v>
      </c>
      <c r="I448" s="13" t="str">
        <f>HYPERLINK("http://www.ncbi.nlm.nih.gov/gene/201965", "201965")</f>
        <v>201965</v>
      </c>
      <c r="J448" s="12" t="s">
        <v>16162</v>
      </c>
      <c r="K448" s="12" t="s">
        <v>16163</v>
      </c>
      <c r="L448" s="13" t="str">
        <f>HYPERLINK("http://asia.ensembl.org/Homo_sapiens/Gene/Summary?g=ENSG00000182552", "ENSG00000182552")</f>
        <v>ENSG00000182552</v>
      </c>
      <c r="M448" s="12" t="s">
        <v>16164</v>
      </c>
      <c r="N448" s="12" t="s">
        <v>16165</v>
      </c>
    </row>
    <row r="449" spans="1:14">
      <c r="A449" s="12" t="s">
        <v>11176</v>
      </c>
      <c r="B449" s="8">
        <v>3504.5759952615099</v>
      </c>
      <c r="C449" s="12">
        <v>1202.3742757298101</v>
      </c>
      <c r="D449" s="8">
        <v>1.5433538599779899</v>
      </c>
      <c r="E449" s="12">
        <v>3.5681118941430099E-4</v>
      </c>
      <c r="F449" s="8" t="s">
        <v>7520</v>
      </c>
      <c r="G449" s="12" t="s">
        <v>7521</v>
      </c>
      <c r="H449" s="12">
        <v>1</v>
      </c>
      <c r="I449" s="13" t="str">
        <f>HYPERLINK("http://www.ncbi.nlm.nih.gov/gene/55754", "55754")</f>
        <v>55754</v>
      </c>
      <c r="J449" s="12" t="s">
        <v>14463</v>
      </c>
      <c r="K449" s="12" t="s">
        <v>14464</v>
      </c>
      <c r="L449" s="13" t="str">
        <f>HYPERLINK("http://asia.ensembl.org/Homo_sapiens/Gene/Summary?g=ENSG00000112697", "ENSG00000112697")</f>
        <v>ENSG00000112697</v>
      </c>
      <c r="M449" s="12" t="s">
        <v>14465</v>
      </c>
      <c r="N449" s="12" t="s">
        <v>14466</v>
      </c>
    </row>
    <row r="450" spans="1:14">
      <c r="A450" s="12" t="s">
        <v>615</v>
      </c>
      <c r="B450" s="8">
        <v>1526.1744104828199</v>
      </c>
      <c r="C450" s="12">
        <v>523.66704363851102</v>
      </c>
      <c r="D450" s="8">
        <v>1.5431981236309</v>
      </c>
      <c r="E450" s="12">
        <v>1.47238019047595E-2</v>
      </c>
      <c r="F450" s="8" t="s">
        <v>616</v>
      </c>
      <c r="G450" s="12" t="s">
        <v>617</v>
      </c>
      <c r="H450" s="12">
        <v>1</v>
      </c>
      <c r="I450" s="13" t="str">
        <f>HYPERLINK("http://www.ncbi.nlm.nih.gov/gene/122553", "122553")</f>
        <v>122553</v>
      </c>
      <c r="J450" s="12" t="s">
        <v>12051</v>
      </c>
      <c r="K450" s="12" t="s">
        <v>12052</v>
      </c>
      <c r="L450" s="13" t="str">
        <f>HYPERLINK("http://asia.ensembl.org/Homo_sapiens/Gene/Summary?g=ENSG00000182400", "ENSG00000182400")</f>
        <v>ENSG00000182400</v>
      </c>
      <c r="M450" s="12" t="s">
        <v>12053</v>
      </c>
      <c r="N450" s="12" t="s">
        <v>12054</v>
      </c>
    </row>
    <row r="451" spans="1:14">
      <c r="A451" s="12" t="s">
        <v>710</v>
      </c>
      <c r="B451" s="8">
        <v>884.76916534504903</v>
      </c>
      <c r="C451" s="12">
        <v>303.62438472685301</v>
      </c>
      <c r="D451" s="8">
        <v>1.5430134464479699</v>
      </c>
      <c r="E451" s="12">
        <v>2.4679229224998801E-4</v>
      </c>
      <c r="F451" s="8" t="s">
        <v>711</v>
      </c>
      <c r="G451" s="12" t="s">
        <v>712</v>
      </c>
      <c r="H451" s="12">
        <v>1</v>
      </c>
      <c r="I451" s="13" t="str">
        <f>HYPERLINK("http://www.ncbi.nlm.nih.gov/gene/155435", "155435")</f>
        <v>155435</v>
      </c>
      <c r="J451" s="13" t="str">
        <f>HYPERLINK("http://www.ncbi.nlm.nih.gov/nuccore/NM_053043", "NM_053043")</f>
        <v>NM_053043</v>
      </c>
      <c r="K451" s="12" t="s">
        <v>713</v>
      </c>
      <c r="L451" s="13" t="str">
        <f>HYPERLINK("http://asia.ensembl.org/Homo_sapiens/Gene/Summary?g=ENSG00000184863", "ENSG00000184863")</f>
        <v>ENSG00000184863</v>
      </c>
      <c r="M451" s="12" t="s">
        <v>12083</v>
      </c>
      <c r="N451" s="12" t="s">
        <v>12084</v>
      </c>
    </row>
    <row r="452" spans="1:14">
      <c r="A452" s="12" t="s">
        <v>10478</v>
      </c>
      <c r="B452" s="8">
        <v>2467.3838299906802</v>
      </c>
      <c r="C452" s="12">
        <v>847.08312763088304</v>
      </c>
      <c r="D452" s="8">
        <v>1.54240670192598</v>
      </c>
      <c r="E452" s="12">
        <v>2.8057139822201599E-3</v>
      </c>
      <c r="F452" s="8" t="s">
        <v>5126</v>
      </c>
      <c r="G452" s="12" t="s">
        <v>5127</v>
      </c>
      <c r="H452" s="12">
        <v>1</v>
      </c>
      <c r="I452" s="13" t="str">
        <f>HYPERLINK("http://www.ncbi.nlm.nih.gov/gene/10564", "10564")</f>
        <v>10564</v>
      </c>
      <c r="J452" s="13" t="str">
        <f>HYPERLINK("http://www.ncbi.nlm.nih.gov/nuccore/NM_006420", "NM_006420")</f>
        <v>NM_006420</v>
      </c>
      <c r="K452" s="12" t="s">
        <v>5128</v>
      </c>
      <c r="L452" s="13" t="str">
        <f>HYPERLINK("http://asia.ensembl.org/Homo_sapiens/Gene/Summary?g=ENSG00000124198", "ENSG00000124198")</f>
        <v>ENSG00000124198</v>
      </c>
      <c r="M452" s="12" t="s">
        <v>15447</v>
      </c>
      <c r="N452" s="12" t="s">
        <v>5129</v>
      </c>
    </row>
    <row r="453" spans="1:14">
      <c r="A453" s="12" t="s">
        <v>3304</v>
      </c>
      <c r="B453" s="8">
        <v>1999.30140234905</v>
      </c>
      <c r="C453" s="12">
        <v>686.40566960340504</v>
      </c>
      <c r="D453" s="8">
        <v>1.54236260585027</v>
      </c>
      <c r="E453" s="12">
        <v>2.40075335632282E-3</v>
      </c>
      <c r="F453" s="8" t="s">
        <v>3305</v>
      </c>
      <c r="G453" s="12" t="s">
        <v>3306</v>
      </c>
      <c r="H453" s="12">
        <v>1</v>
      </c>
      <c r="I453" s="13" t="str">
        <f>HYPERLINK("http://www.ncbi.nlm.nih.gov/gene/29899", "29899")</f>
        <v>29899</v>
      </c>
      <c r="J453" s="13" t="str">
        <f>HYPERLINK("http://www.ncbi.nlm.nih.gov/nuccore/NM_013296", "NM_013296")</f>
        <v>NM_013296</v>
      </c>
      <c r="K453" s="12" t="s">
        <v>3307</v>
      </c>
      <c r="L453" s="13" t="str">
        <f>HYPERLINK("http://asia.ensembl.org/Homo_sapiens/Gene/Summary?g=ENSG00000121957", "ENSG00000121957")</f>
        <v>ENSG00000121957</v>
      </c>
      <c r="M453" s="12" t="s">
        <v>12943</v>
      </c>
      <c r="N453" s="12" t="s">
        <v>12944</v>
      </c>
    </row>
    <row r="454" spans="1:14">
      <c r="A454" s="12" t="s">
        <v>8109</v>
      </c>
      <c r="B454" s="8">
        <v>751.99444683806598</v>
      </c>
      <c r="C454" s="12">
        <v>258.84618139968399</v>
      </c>
      <c r="D454" s="8">
        <v>1.5386269730944799</v>
      </c>
      <c r="E454" s="12">
        <v>6.4894728125417297E-3</v>
      </c>
      <c r="F454" s="8" t="s">
        <v>8110</v>
      </c>
      <c r="G454" s="12" t="s">
        <v>14667</v>
      </c>
      <c r="H454" s="12">
        <v>1</v>
      </c>
      <c r="I454" s="13" t="str">
        <f>HYPERLINK("http://www.ncbi.nlm.nih.gov/gene/54537", "54537")</f>
        <v>54537</v>
      </c>
      <c r="J454" s="13" t="str">
        <f>HYPERLINK("http://www.ncbi.nlm.nih.gov/nuccore/NM_019054", "NM_019054")</f>
        <v>NM_019054</v>
      </c>
      <c r="K454" s="12" t="s">
        <v>8111</v>
      </c>
      <c r="L454" s="13" t="str">
        <f>HYPERLINK("http://asia.ensembl.org/Homo_sapiens/Gene/Summary?g=ENSG00000122376", "ENSG00000122376")</f>
        <v>ENSG00000122376</v>
      </c>
      <c r="M454" s="12" t="s">
        <v>14668</v>
      </c>
      <c r="N454" s="12" t="s">
        <v>14669</v>
      </c>
    </row>
    <row r="455" spans="1:14">
      <c r="A455" s="12" t="s">
        <v>10056</v>
      </c>
      <c r="B455" s="8">
        <v>354.96437152996498</v>
      </c>
      <c r="C455" s="12">
        <v>122.323547680102</v>
      </c>
      <c r="D455" s="8">
        <v>1.53697207167404</v>
      </c>
      <c r="E455" s="12">
        <v>6.9922323121891002E-3</v>
      </c>
      <c r="F455" s="8" t="s">
        <v>10057</v>
      </c>
      <c r="G455" s="12" t="s">
        <v>10058</v>
      </c>
      <c r="H455" s="12">
        <v>1</v>
      </c>
      <c r="I455" s="13" t="str">
        <f>HYPERLINK("http://www.ncbi.nlm.nih.gov/gene/100653515", "100653515")</f>
        <v>100653515</v>
      </c>
      <c r="J455" s="12" t="s">
        <v>15273</v>
      </c>
      <c r="K455" s="12" t="s">
        <v>15274</v>
      </c>
      <c r="L455" s="13" t="str">
        <f>HYPERLINK("http://asia.ensembl.org/Homo_sapiens/Gene/Summary?g=ENSG00000178404", "ENSG00000178404")</f>
        <v>ENSG00000178404</v>
      </c>
      <c r="M455" s="12" t="s">
        <v>15275</v>
      </c>
      <c r="N455" s="12" t="s">
        <v>15276</v>
      </c>
    </row>
    <row r="456" spans="1:14">
      <c r="A456" s="12" t="s">
        <v>2797</v>
      </c>
      <c r="B456" s="8">
        <v>9131.0785508087502</v>
      </c>
      <c r="C456" s="12">
        <v>3150.8667714159701</v>
      </c>
      <c r="D456" s="8">
        <v>1.5350365255379199</v>
      </c>
      <c r="E456" s="12">
        <v>3.4644933532003899E-3</v>
      </c>
      <c r="F456" s="8" t="s">
        <v>2798</v>
      </c>
      <c r="G456" s="12" t="s">
        <v>2799</v>
      </c>
      <c r="H456" s="12">
        <v>1</v>
      </c>
      <c r="I456" s="13" t="str">
        <f>HYPERLINK("http://www.ncbi.nlm.nih.gov/gene/23013", "23013")</f>
        <v>23013</v>
      </c>
      <c r="J456" s="13" t="str">
        <f>HYPERLINK("http://www.ncbi.nlm.nih.gov/nuccore/NM_015001", "NM_015001")</f>
        <v>NM_015001</v>
      </c>
      <c r="K456" s="12" t="s">
        <v>2800</v>
      </c>
      <c r="L456" s="13" t="str">
        <f>HYPERLINK("http://asia.ensembl.org/Homo_sapiens/Gene/Summary?g=ENSG00000065526", "ENSG00000065526")</f>
        <v>ENSG00000065526</v>
      </c>
      <c r="M456" s="12" t="s">
        <v>12783</v>
      </c>
      <c r="N456" s="12" t="s">
        <v>12784</v>
      </c>
    </row>
    <row r="457" spans="1:14">
      <c r="A457" s="12" t="s">
        <v>5903</v>
      </c>
      <c r="B457" s="8">
        <v>215.69619279103699</v>
      </c>
      <c r="C457" s="12">
        <v>74.537545166578397</v>
      </c>
      <c r="D457" s="8">
        <v>1.5329615010367099</v>
      </c>
      <c r="E457" s="12">
        <v>5.3310221195627802E-3</v>
      </c>
      <c r="F457" s="8" t="s">
        <v>5904</v>
      </c>
      <c r="G457" s="12" t="s">
        <v>5905</v>
      </c>
      <c r="H457" s="12">
        <v>1</v>
      </c>
      <c r="I457" s="13" t="str">
        <f>HYPERLINK("http://www.ncbi.nlm.nih.gov/gene/10207", "10207")</f>
        <v>10207</v>
      </c>
      <c r="J457" s="13" t="str">
        <f>HYPERLINK("http://www.ncbi.nlm.nih.gov/nuccore/NM_176877", "NM_176877")</f>
        <v>NM_176877</v>
      </c>
      <c r="K457" s="12" t="s">
        <v>5906</v>
      </c>
      <c r="L457" s="13" t="str">
        <f>HYPERLINK("http://asia.ensembl.org/Homo_sapiens/Gene/Summary?g=ENSG00000132849", "ENSG00000132849")</f>
        <v>ENSG00000132849</v>
      </c>
      <c r="M457" s="12" t="s">
        <v>13960</v>
      </c>
      <c r="N457" s="12" t="s">
        <v>13961</v>
      </c>
    </row>
    <row r="458" spans="1:14">
      <c r="A458" s="12" t="s">
        <v>3003</v>
      </c>
      <c r="B458" s="8">
        <v>434.97779610192202</v>
      </c>
      <c r="C458" s="12">
        <v>150.40612670261899</v>
      </c>
      <c r="D458" s="8">
        <v>1.5320784234359699</v>
      </c>
      <c r="E458" s="12">
        <v>5.82803912127078E-3</v>
      </c>
      <c r="F458" s="8" t="s">
        <v>3004</v>
      </c>
      <c r="G458" s="12" t="s">
        <v>3005</v>
      </c>
      <c r="H458" s="12">
        <v>1</v>
      </c>
      <c r="I458" s="13" t="str">
        <f>HYPERLINK("http://www.ncbi.nlm.nih.gov/gene/5965", "5965")</f>
        <v>5965</v>
      </c>
      <c r="J458" s="12" t="s">
        <v>12862</v>
      </c>
      <c r="K458" s="12" t="s">
        <v>12863</v>
      </c>
      <c r="L458" s="13" t="str">
        <f>HYPERLINK("http://asia.ensembl.org/Homo_sapiens/Gene/Summary?g=ENSG00000004700", "ENSG00000004700")</f>
        <v>ENSG00000004700</v>
      </c>
      <c r="M458" s="12" t="s">
        <v>12864</v>
      </c>
      <c r="N458" s="12" t="s">
        <v>12865</v>
      </c>
    </row>
    <row r="459" spans="1:14">
      <c r="A459" s="12" t="s">
        <v>2285</v>
      </c>
      <c r="B459" s="8">
        <v>14714.026589625801</v>
      </c>
      <c r="C459" s="12">
        <v>5090.2241843305701</v>
      </c>
      <c r="D459" s="8">
        <v>1.53139100137817</v>
      </c>
      <c r="E459" s="12">
        <v>6.4782402354094098E-4</v>
      </c>
      <c r="F459" s="8" t="s">
        <v>2286</v>
      </c>
      <c r="G459" s="12" t="s">
        <v>12593</v>
      </c>
      <c r="H459" s="12">
        <v>1</v>
      </c>
      <c r="I459" s="13" t="str">
        <f>HYPERLINK("http://www.ncbi.nlm.nih.gov/gene/340146", "340146")</f>
        <v>340146</v>
      </c>
      <c r="J459" s="13" t="str">
        <f>HYPERLINK("http://www.ncbi.nlm.nih.gov/nuccore/NM_001008783", "NM_001008783")</f>
        <v>NM_001008783</v>
      </c>
      <c r="K459" s="12" t="s">
        <v>2287</v>
      </c>
      <c r="L459" s="13" t="str">
        <f>HYPERLINK("http://asia.ensembl.org/Homo_sapiens/Gene/Summary?g=ENSG00000182747", "ENSG00000182747")</f>
        <v>ENSG00000182747</v>
      </c>
      <c r="M459" s="12" t="s">
        <v>2288</v>
      </c>
      <c r="N459" s="12" t="s">
        <v>2289</v>
      </c>
    </row>
    <row r="460" spans="1:14">
      <c r="A460" s="12" t="s">
        <v>76</v>
      </c>
      <c r="B460" s="8">
        <v>1712.3488630731899</v>
      </c>
      <c r="C460" s="12">
        <v>592.53142176520805</v>
      </c>
      <c r="D460" s="8">
        <v>1.53101309036042</v>
      </c>
      <c r="E460" s="12">
        <v>9.1031818653947302E-4</v>
      </c>
      <c r="F460" s="8" t="s">
        <v>77</v>
      </c>
      <c r="G460" s="12" t="s">
        <v>11850</v>
      </c>
      <c r="H460" s="12">
        <v>1</v>
      </c>
      <c r="I460" s="13" t="str">
        <f>HYPERLINK("http://www.ncbi.nlm.nih.gov/gene/178", "178")</f>
        <v>178</v>
      </c>
      <c r="J460" s="12" t="s">
        <v>11851</v>
      </c>
      <c r="K460" s="12" t="s">
        <v>11852</v>
      </c>
      <c r="L460" s="13" t="str">
        <f>HYPERLINK("http://asia.ensembl.org/Homo_sapiens/Gene/Summary?g=ENSG00000162688", "ENSG00000162688")</f>
        <v>ENSG00000162688</v>
      </c>
      <c r="M460" s="12" t="s">
        <v>11853</v>
      </c>
      <c r="N460" s="12" t="s">
        <v>11854</v>
      </c>
    </row>
    <row r="461" spans="1:14">
      <c r="A461" s="12" t="s">
        <v>10678</v>
      </c>
      <c r="B461" s="8">
        <v>2520.6727087754898</v>
      </c>
      <c r="C461" s="12">
        <v>873.82886059116095</v>
      </c>
      <c r="D461" s="8">
        <v>1.5283861461441</v>
      </c>
      <c r="E461" s="12">
        <v>9.4875626108379095E-3</v>
      </c>
      <c r="F461" s="8" t="s">
        <v>7670</v>
      </c>
      <c r="G461" s="12" t="s">
        <v>7671</v>
      </c>
      <c r="H461" s="12">
        <v>1</v>
      </c>
      <c r="I461" s="13" t="str">
        <f>HYPERLINK("http://www.ncbi.nlm.nih.gov/gene/5178", "5178")</f>
        <v>5178</v>
      </c>
      <c r="J461" s="12" t="s">
        <v>15702</v>
      </c>
      <c r="K461" s="12" t="s">
        <v>15703</v>
      </c>
      <c r="L461" s="13" t="str">
        <f>HYPERLINK("http://asia.ensembl.org/Homo_sapiens/Gene/Summary?g=ENSG00000198300", "ENSG00000198300")</f>
        <v>ENSG00000198300</v>
      </c>
      <c r="M461" s="12" t="s">
        <v>15704</v>
      </c>
      <c r="N461" s="12" t="s">
        <v>15705</v>
      </c>
    </row>
    <row r="462" spans="1:14">
      <c r="A462" s="12" t="s">
        <v>8766</v>
      </c>
      <c r="B462" s="8">
        <v>1788.0038921860501</v>
      </c>
      <c r="C462" s="12">
        <v>619.87993364985095</v>
      </c>
      <c r="D462" s="8">
        <v>1.5282891691648</v>
      </c>
      <c r="E462" s="12">
        <v>3.9490338633095499E-3</v>
      </c>
      <c r="F462" s="8" t="s">
        <v>2186</v>
      </c>
      <c r="G462" s="12" t="s">
        <v>2187</v>
      </c>
      <c r="H462" s="12">
        <v>1</v>
      </c>
      <c r="I462" s="13" t="str">
        <f>HYPERLINK("http://www.ncbi.nlm.nih.gov/gene/860", "860")</f>
        <v>860</v>
      </c>
      <c r="J462" s="12" t="s">
        <v>14861</v>
      </c>
      <c r="K462" s="12" t="s">
        <v>14862</v>
      </c>
      <c r="L462" s="13" t="str">
        <f>HYPERLINK("http://asia.ensembl.org/Homo_sapiens/Gene/Summary?g=ENSG00000124813", "ENSG00000124813")</f>
        <v>ENSG00000124813</v>
      </c>
      <c r="M462" s="12" t="s">
        <v>14863</v>
      </c>
      <c r="N462" s="12" t="s">
        <v>14864</v>
      </c>
    </row>
    <row r="463" spans="1:14">
      <c r="A463" s="12" t="s">
        <v>2901</v>
      </c>
      <c r="B463" s="8">
        <v>4680.4487289153603</v>
      </c>
      <c r="C463" s="12">
        <v>1623.0967733508801</v>
      </c>
      <c r="D463" s="8">
        <v>1.5278978322499599</v>
      </c>
      <c r="E463" s="12">
        <v>6.2378178614099699E-3</v>
      </c>
      <c r="F463" s="8" t="s">
        <v>2902</v>
      </c>
      <c r="G463" s="12" t="s">
        <v>2903</v>
      </c>
      <c r="H463" s="12">
        <v>1</v>
      </c>
      <c r="I463" s="13" t="str">
        <f>HYPERLINK("http://www.ncbi.nlm.nih.gov/gene/10003", "10003")</f>
        <v>10003</v>
      </c>
      <c r="J463" s="13" t="str">
        <f>HYPERLINK("http://www.ncbi.nlm.nih.gov/nuccore/NM_005467", "NM_005467")</f>
        <v>NM_005467</v>
      </c>
      <c r="K463" s="12" t="s">
        <v>2904</v>
      </c>
      <c r="L463" s="13" t="str">
        <f>HYPERLINK("http://asia.ensembl.org/Homo_sapiens/Gene/Summary?g=ENSG00000077616", "ENSG00000077616")</f>
        <v>ENSG00000077616</v>
      </c>
      <c r="M463" s="12" t="s">
        <v>12833</v>
      </c>
      <c r="N463" s="12" t="s">
        <v>12834</v>
      </c>
    </row>
    <row r="464" spans="1:14">
      <c r="A464" s="12" t="s">
        <v>10509</v>
      </c>
      <c r="B464" s="8">
        <v>4889.97816516292</v>
      </c>
      <c r="C464" s="12">
        <v>1697.2278445314601</v>
      </c>
      <c r="D464" s="8">
        <v>1.5266477706085499</v>
      </c>
      <c r="E464" s="12">
        <v>3.43463813226759E-3</v>
      </c>
      <c r="F464" s="8" t="s">
        <v>6192</v>
      </c>
      <c r="G464" s="12" t="s">
        <v>6193</v>
      </c>
      <c r="H464" s="12">
        <v>1</v>
      </c>
      <c r="I464" s="13" t="str">
        <f>HYPERLINK("http://www.ncbi.nlm.nih.gov/gene/9043", "9043")</f>
        <v>9043</v>
      </c>
      <c r="J464" s="12" t="s">
        <v>14085</v>
      </c>
      <c r="K464" s="12" t="s">
        <v>14086</v>
      </c>
      <c r="L464" s="13" t="str">
        <f>HYPERLINK("http://asia.ensembl.org/Homo_sapiens/Gene/Summary?g=ENSG00000008294", "ENSG00000008294")</f>
        <v>ENSG00000008294</v>
      </c>
      <c r="M464" s="12" t="s">
        <v>14087</v>
      </c>
      <c r="N464" s="12" t="s">
        <v>14088</v>
      </c>
    </row>
    <row r="465" spans="1:14">
      <c r="A465" s="12" t="s">
        <v>1970</v>
      </c>
      <c r="B465" s="8">
        <v>3460.8909121289298</v>
      </c>
      <c r="C465" s="12">
        <v>1201.2320776966101</v>
      </c>
      <c r="D465" s="8">
        <v>1.52662856198187</v>
      </c>
      <c r="E465" s="12">
        <v>7.6321011761492996E-3</v>
      </c>
      <c r="F465" s="8" t="s">
        <v>1971</v>
      </c>
      <c r="G465" s="12" t="s">
        <v>1972</v>
      </c>
      <c r="H465" s="12">
        <v>1</v>
      </c>
      <c r="I465" s="13" t="str">
        <f>HYPERLINK("http://www.ncbi.nlm.nih.gov/gene/2909", "2909")</f>
        <v>2909</v>
      </c>
      <c r="J465" s="13" t="str">
        <f>HYPERLINK("http://www.ncbi.nlm.nih.gov/nuccore/NM_004491", "NM_004491")</f>
        <v>NM_004491</v>
      </c>
      <c r="K465" s="12" t="s">
        <v>1973</v>
      </c>
      <c r="L465" s="13" t="str">
        <f>HYPERLINK("http://asia.ensembl.org/Homo_sapiens/Gene/Summary?g=ENSG00000160007", "ENSG00000160007")</f>
        <v>ENSG00000160007</v>
      </c>
      <c r="M465" s="12" t="s">
        <v>12494</v>
      </c>
      <c r="N465" s="12" t="s">
        <v>12495</v>
      </c>
    </row>
    <row r="466" spans="1:14">
      <c r="A466" s="12" t="s">
        <v>1406</v>
      </c>
      <c r="B466" s="8">
        <v>2742.2111593662398</v>
      </c>
      <c r="C466" s="12">
        <v>952.03493043582</v>
      </c>
      <c r="D466" s="8">
        <v>1.52625325519044</v>
      </c>
      <c r="E466" s="12">
        <v>1.04855278638149E-3</v>
      </c>
      <c r="F466" s="8" t="s">
        <v>1407</v>
      </c>
      <c r="G466" s="12" t="s">
        <v>1408</v>
      </c>
      <c r="H466" s="12">
        <v>1</v>
      </c>
      <c r="I466" s="13" t="str">
        <f>HYPERLINK("http://www.ncbi.nlm.nih.gov/gene/65056", "65056")</f>
        <v>65056</v>
      </c>
      <c r="J466" s="12" t="s">
        <v>12326</v>
      </c>
      <c r="K466" s="12" t="s">
        <v>12327</v>
      </c>
      <c r="L466" s="13" t="str">
        <f>HYPERLINK("http://asia.ensembl.org/Homo_sapiens/Gene/Summary?g=ENSG00000062194", "ENSG00000062194")</f>
        <v>ENSG00000062194</v>
      </c>
      <c r="M466" s="12" t="s">
        <v>12328</v>
      </c>
      <c r="N466" s="12" t="s">
        <v>12329</v>
      </c>
    </row>
    <row r="467" spans="1:14">
      <c r="A467" s="12" t="s">
        <v>11209</v>
      </c>
      <c r="B467" s="8">
        <v>1575.45890612678</v>
      </c>
      <c r="C467" s="12">
        <v>547.05402241450099</v>
      </c>
      <c r="D467" s="8">
        <v>1.52601691046319</v>
      </c>
      <c r="E467" s="12">
        <v>3.8570975509002701E-3</v>
      </c>
      <c r="F467" s="8" t="s">
        <v>1187</v>
      </c>
      <c r="G467" s="12" t="s">
        <v>1188</v>
      </c>
      <c r="H467" s="12">
        <v>1</v>
      </c>
      <c r="I467" s="13" t="str">
        <f>HYPERLINK("http://www.ncbi.nlm.nih.gov/gene/55117", "55117")</f>
        <v>55117</v>
      </c>
      <c r="J467" s="12" t="s">
        <v>14435</v>
      </c>
      <c r="K467" s="12" t="s">
        <v>14436</v>
      </c>
      <c r="L467" s="13" t="str">
        <f>HYPERLINK("http://asia.ensembl.org/Homo_sapiens/Gene/Summary?g=ENSG00000072041", "ENSG00000072041")</f>
        <v>ENSG00000072041</v>
      </c>
      <c r="M467" s="12" t="s">
        <v>14437</v>
      </c>
      <c r="N467" s="12" t="s">
        <v>14438</v>
      </c>
    </row>
    <row r="468" spans="1:14">
      <c r="A468" s="12" t="s">
        <v>5524</v>
      </c>
      <c r="B468" s="8">
        <v>4564.6952774679603</v>
      </c>
      <c r="C468" s="12">
        <v>1585.4876732308101</v>
      </c>
      <c r="D468" s="8">
        <v>1.52559189343268</v>
      </c>
      <c r="E468" s="12">
        <v>2.11186805129538E-4</v>
      </c>
      <c r="F468" s="8" t="s">
        <v>5525</v>
      </c>
      <c r="G468" s="12" t="s">
        <v>13802</v>
      </c>
      <c r="H468" s="12">
        <v>1</v>
      </c>
      <c r="I468" s="13" t="str">
        <f>HYPERLINK("http://www.ncbi.nlm.nih.gov/gene/6760", "6760")</f>
        <v>6760</v>
      </c>
      <c r="J468" s="12" t="s">
        <v>13803</v>
      </c>
      <c r="K468" s="12" t="s">
        <v>13804</v>
      </c>
      <c r="L468" s="13" t="str">
        <f>HYPERLINK("http://asia.ensembl.org/Homo_sapiens/Gene/Summary?g=ENSG00000141380", "ENSG00000141380")</f>
        <v>ENSG00000141380</v>
      </c>
      <c r="M468" s="12" t="s">
        <v>13805</v>
      </c>
      <c r="N468" s="12" t="s">
        <v>13806</v>
      </c>
    </row>
    <row r="469" spans="1:14">
      <c r="A469" s="12" t="s">
        <v>9962</v>
      </c>
      <c r="B469" s="8">
        <v>325.135270816907</v>
      </c>
      <c r="C469" s="12">
        <v>112.96275465109299</v>
      </c>
      <c r="D469" s="8">
        <v>1.5251928937460399</v>
      </c>
      <c r="E469" s="12">
        <v>1.17166514601368E-3</v>
      </c>
      <c r="F469" s="8" t="s">
        <v>9001</v>
      </c>
      <c r="G469" s="12" t="s">
        <v>15255</v>
      </c>
      <c r="H469" s="12">
        <v>1</v>
      </c>
      <c r="I469" s="13" t="str">
        <f>HYPERLINK("http://www.ncbi.nlm.nih.gov/gene/287", "287")</f>
        <v>287</v>
      </c>
      <c r="J469" s="12" t="s">
        <v>15256</v>
      </c>
      <c r="K469" s="12" t="s">
        <v>15257</v>
      </c>
      <c r="L469" s="13" t="str">
        <f>HYPERLINK("http://asia.ensembl.org/Homo_sapiens/Gene/Summary?g=ENSG00000145362", "ENSG00000145362")</f>
        <v>ENSG00000145362</v>
      </c>
      <c r="M469" s="12" t="s">
        <v>15258</v>
      </c>
      <c r="N469" s="12" t="s">
        <v>15259</v>
      </c>
    </row>
    <row r="470" spans="1:14">
      <c r="A470" s="12" t="s">
        <v>10794</v>
      </c>
      <c r="B470" s="8">
        <v>1258.6530220109</v>
      </c>
      <c r="C470" s="12">
        <v>437.43797535619802</v>
      </c>
      <c r="D470" s="8">
        <v>1.52473024847122</v>
      </c>
      <c r="E470" s="12">
        <v>7.4415743170362701E-4</v>
      </c>
      <c r="F470" s="8" t="s">
        <v>8144</v>
      </c>
      <c r="G470" s="12" t="s">
        <v>448</v>
      </c>
      <c r="H470" s="12">
        <v>1</v>
      </c>
      <c r="I470" s="13" t="str">
        <f>HYPERLINK("http://www.ncbi.nlm.nih.gov/gene/54625", "54625")</f>
        <v>54625</v>
      </c>
      <c r="J470" s="13" t="str">
        <f>HYPERLINK("http://www.ncbi.nlm.nih.gov/nuccore/NM_017554", "NM_017554")</f>
        <v>NM_017554</v>
      </c>
      <c r="K470" s="12" t="s">
        <v>8145</v>
      </c>
      <c r="L470" s="13" t="str">
        <f>HYPERLINK("http://asia.ensembl.org/Homo_sapiens/Gene/Summary?g=ENSG00000173193", "ENSG00000173193")</f>
        <v>ENSG00000173193</v>
      </c>
      <c r="M470" s="12" t="s">
        <v>15897</v>
      </c>
      <c r="N470" s="12" t="s">
        <v>15898</v>
      </c>
    </row>
    <row r="471" spans="1:14">
      <c r="A471" s="12" t="s">
        <v>9963</v>
      </c>
      <c r="B471" s="8">
        <v>170.37233726839099</v>
      </c>
      <c r="C471" s="12">
        <v>59.241163374785899</v>
      </c>
      <c r="D471" s="8">
        <v>1.5240192318900001</v>
      </c>
      <c r="E471" s="12">
        <v>2.4979156240838899E-3</v>
      </c>
      <c r="F471" s="8" t="s">
        <v>9031</v>
      </c>
      <c r="G471" s="12" t="s">
        <v>9032</v>
      </c>
      <c r="H471" s="12">
        <v>1</v>
      </c>
      <c r="I471" s="13" t="str">
        <f>HYPERLINK("http://www.ncbi.nlm.nih.gov/gene/861", "861")</f>
        <v>861</v>
      </c>
      <c r="J471" s="12" t="s">
        <v>15260</v>
      </c>
      <c r="K471" s="12" t="s">
        <v>15261</v>
      </c>
      <c r="L471" s="13" t="str">
        <f>HYPERLINK("http://asia.ensembl.org/Homo_sapiens/Gene/Summary?g=ENSG00000159216", "ENSG00000159216")</f>
        <v>ENSG00000159216</v>
      </c>
      <c r="M471" s="12" t="s">
        <v>9033</v>
      </c>
      <c r="N471" s="12" t="s">
        <v>9034</v>
      </c>
    </row>
    <row r="472" spans="1:14">
      <c r="A472" s="12" t="s">
        <v>8284</v>
      </c>
      <c r="B472" s="8">
        <v>20055.1338972337</v>
      </c>
      <c r="C472" s="12">
        <v>6995.0153038849603</v>
      </c>
      <c r="D472" s="8">
        <v>1.51957247940198</v>
      </c>
      <c r="E472" s="12">
        <v>6.7742908601731303E-3</v>
      </c>
      <c r="F472" s="8" t="s">
        <v>8285</v>
      </c>
      <c r="G472" s="12" t="s">
        <v>14712</v>
      </c>
      <c r="H472" s="12">
        <v>4</v>
      </c>
      <c r="I472" s="12" t="s">
        <v>8286</v>
      </c>
      <c r="J472" s="12" t="s">
        <v>14713</v>
      </c>
      <c r="K472" s="12" t="s">
        <v>14714</v>
      </c>
      <c r="L472" s="12" t="s">
        <v>8287</v>
      </c>
      <c r="M472" s="12" t="s">
        <v>14715</v>
      </c>
      <c r="N472" s="12" t="s">
        <v>14716</v>
      </c>
    </row>
    <row r="473" spans="1:14">
      <c r="A473" s="12" t="s">
        <v>8793</v>
      </c>
      <c r="B473" s="8">
        <v>346.96696373280503</v>
      </c>
      <c r="C473" s="12">
        <v>121.221051827718</v>
      </c>
      <c r="D473" s="8">
        <v>1.51715803804306</v>
      </c>
      <c r="E473" s="12">
        <v>8.7558798686323495E-4</v>
      </c>
      <c r="F473" s="8" t="s">
        <v>1915</v>
      </c>
      <c r="G473" s="12" t="s">
        <v>1916</v>
      </c>
      <c r="H473" s="12">
        <v>1</v>
      </c>
      <c r="I473" s="13" t="str">
        <f>HYPERLINK("http://www.ncbi.nlm.nih.gov/gene/54520", "54520")</f>
        <v>54520</v>
      </c>
      <c r="J473" s="13" t="str">
        <f>HYPERLINK("http://www.ncbi.nlm.nih.gov/nuccore/NM_019044", "NM_019044")</f>
        <v>NM_019044</v>
      </c>
      <c r="K473" s="12" t="s">
        <v>1917</v>
      </c>
      <c r="L473" s="13" t="str">
        <f>HYPERLINK("http://asia.ensembl.org/Homo_sapiens/Gene/Summary?g=ENSG00000125633", "ENSG00000125633")</f>
        <v>ENSG00000125633</v>
      </c>
      <c r="M473" s="12" t="s">
        <v>14885</v>
      </c>
      <c r="N473" s="12" t="s">
        <v>14886</v>
      </c>
    </row>
    <row r="474" spans="1:14">
      <c r="A474" s="12" t="s">
        <v>3384</v>
      </c>
      <c r="B474" s="8">
        <v>310.63936572355902</v>
      </c>
      <c r="C474" s="12">
        <v>108.622866048815</v>
      </c>
      <c r="D474" s="8">
        <v>1.51591283176325</v>
      </c>
      <c r="E474" s="12">
        <v>4.1096686517888897E-3</v>
      </c>
      <c r="F474" s="8" t="s">
        <v>3385</v>
      </c>
      <c r="G474" s="12" t="s">
        <v>12961</v>
      </c>
      <c r="H474" s="12">
        <v>1</v>
      </c>
      <c r="I474" s="13" t="str">
        <f>HYPERLINK("http://www.ncbi.nlm.nih.gov/gene/57475", "57475")</f>
        <v>57475</v>
      </c>
      <c r="J474" s="13" t="str">
        <f>HYPERLINK("http://www.ncbi.nlm.nih.gov/nuccore/NM_020715", "NM_020715")</f>
        <v>NM_020715</v>
      </c>
      <c r="K474" s="12" t="s">
        <v>3386</v>
      </c>
      <c r="L474" s="13" t="str">
        <f>HYPERLINK("http://asia.ensembl.org/Homo_sapiens/Gene/Summary?g=ENSG00000054690", "ENSG00000054690")</f>
        <v>ENSG00000054690</v>
      </c>
      <c r="M474" s="12" t="s">
        <v>12962</v>
      </c>
      <c r="N474" s="12" t="s">
        <v>12963</v>
      </c>
    </row>
    <row r="475" spans="1:14">
      <c r="A475" s="12" t="s">
        <v>307</v>
      </c>
      <c r="B475" s="8">
        <v>7252.0721213688003</v>
      </c>
      <c r="C475" s="12">
        <v>2539.01326036505</v>
      </c>
      <c r="D475" s="8">
        <v>1.5141253429692101</v>
      </c>
      <c r="E475" s="12">
        <v>2.7043572295709101E-3</v>
      </c>
      <c r="F475" s="8" t="s">
        <v>308</v>
      </c>
      <c r="G475" s="12" t="s">
        <v>309</v>
      </c>
      <c r="H475" s="12">
        <v>1</v>
      </c>
      <c r="I475" s="13" t="str">
        <f>HYPERLINK("http://www.ncbi.nlm.nih.gov/gene/22908", "22908")</f>
        <v>22908</v>
      </c>
      <c r="J475" s="13" t="str">
        <f>HYPERLINK("http://www.ncbi.nlm.nih.gov/nuccore/NM_014016", "NM_014016")</f>
        <v>NM_014016</v>
      </c>
      <c r="K475" s="12" t="s">
        <v>310</v>
      </c>
      <c r="L475" s="13" t="str">
        <f>HYPERLINK("http://asia.ensembl.org/Homo_sapiens/Gene/Summary?g=ENSG00000211456", "ENSG00000211456")</f>
        <v>ENSG00000211456</v>
      </c>
      <c r="M475" s="12" t="s">
        <v>11939</v>
      </c>
      <c r="N475" s="12" t="s">
        <v>11940</v>
      </c>
    </row>
    <row r="476" spans="1:14">
      <c r="A476" s="12" t="s">
        <v>11738</v>
      </c>
      <c r="B476" s="8">
        <v>1040.07143938688</v>
      </c>
      <c r="C476" s="12">
        <v>364.38938586192199</v>
      </c>
      <c r="D476" s="8">
        <v>1.5131297849283201</v>
      </c>
      <c r="E476" s="12">
        <v>3.8818498541858099E-3</v>
      </c>
      <c r="F476" s="8" t="s">
        <v>38</v>
      </c>
      <c r="G476" s="12" t="s">
        <v>38</v>
      </c>
      <c r="H476" s="12">
        <v>1</v>
      </c>
      <c r="I476" s="12" t="s">
        <v>38</v>
      </c>
      <c r="J476" s="12" t="s">
        <v>38</v>
      </c>
      <c r="K476" s="12" t="s">
        <v>38</v>
      </c>
      <c r="L476" s="13" t="str">
        <f>HYPERLINK("http://asia.ensembl.org/Homo_sapiens/Gene/Summary?g=ENSG00000281325", "ENSG00000281325")</f>
        <v>ENSG00000281325</v>
      </c>
      <c r="M476" s="12" t="s">
        <v>11739</v>
      </c>
      <c r="N476" s="12" t="s">
        <v>11740</v>
      </c>
    </row>
    <row r="477" spans="1:14">
      <c r="A477" s="12" t="s">
        <v>8843</v>
      </c>
      <c r="B477" s="8">
        <v>4652.2742359222602</v>
      </c>
      <c r="C477" s="12">
        <v>1631.05718688305</v>
      </c>
      <c r="D477" s="8">
        <v>1.51212877572937</v>
      </c>
      <c r="E477" s="12">
        <v>6.4836113245763799E-3</v>
      </c>
      <c r="F477" s="8" t="s">
        <v>4699</v>
      </c>
      <c r="G477" s="12" t="s">
        <v>4700</v>
      </c>
      <c r="H477" s="12">
        <v>1</v>
      </c>
      <c r="I477" s="13" t="str">
        <f>HYPERLINK("http://www.ncbi.nlm.nih.gov/gene/79893", "79893")</f>
        <v>79893</v>
      </c>
      <c r="J477" s="13" t="str">
        <f>HYPERLINK("http://www.ncbi.nlm.nih.gov/nuccore/NM_024835", "NM_024835")</f>
        <v>NM_024835</v>
      </c>
      <c r="K477" s="12" t="s">
        <v>4701</v>
      </c>
      <c r="L477" s="13" t="str">
        <f>HYPERLINK("http://asia.ensembl.org/Homo_sapiens/Gene/Summary?g=ENSG00000275099", "ENSG00000275099")</f>
        <v>ENSG00000275099</v>
      </c>
      <c r="M477" s="12" t="s">
        <v>13352</v>
      </c>
      <c r="N477" s="12" t="s">
        <v>13353</v>
      </c>
    </row>
    <row r="478" spans="1:14">
      <c r="A478" s="12" t="s">
        <v>5493</v>
      </c>
      <c r="B478" s="8">
        <v>3319.0890325209898</v>
      </c>
      <c r="C478" s="12">
        <v>1163.66940427554</v>
      </c>
      <c r="D478" s="8">
        <v>1.5121060791334699</v>
      </c>
      <c r="E478" s="12">
        <v>5.6633380970405297E-3</v>
      </c>
      <c r="F478" s="8" t="s">
        <v>5494</v>
      </c>
      <c r="G478" s="12" t="s">
        <v>5495</v>
      </c>
      <c r="H478" s="12">
        <v>1</v>
      </c>
      <c r="I478" s="13" t="str">
        <f>HYPERLINK("http://www.ncbi.nlm.nih.gov/gene/26512", "26512")</f>
        <v>26512</v>
      </c>
      <c r="J478" s="12" t="s">
        <v>13783</v>
      </c>
      <c r="K478" s="12" t="s">
        <v>13784</v>
      </c>
      <c r="L478" s="13" t="str">
        <f>HYPERLINK("http://asia.ensembl.org/Homo_sapiens/Gene/Summary?g=ENSG00000102786", "ENSG00000102786")</f>
        <v>ENSG00000102786</v>
      </c>
      <c r="M478" s="12" t="s">
        <v>13785</v>
      </c>
      <c r="N478" s="12" t="s">
        <v>13786</v>
      </c>
    </row>
    <row r="479" spans="1:14">
      <c r="A479" s="12" t="s">
        <v>8397</v>
      </c>
      <c r="B479" s="8">
        <v>27691.356488375801</v>
      </c>
      <c r="C479" s="12">
        <v>9710.4122736091304</v>
      </c>
      <c r="D479" s="8">
        <v>1.5118312729155901</v>
      </c>
      <c r="E479" s="12">
        <v>7.1319911558434196E-3</v>
      </c>
      <c r="F479" s="8" t="s">
        <v>8398</v>
      </c>
      <c r="G479" s="12" t="s">
        <v>14731</v>
      </c>
      <c r="H479" s="12">
        <v>4</v>
      </c>
      <c r="I479" s="12" t="s">
        <v>8399</v>
      </c>
      <c r="J479" s="12" t="s">
        <v>14732</v>
      </c>
      <c r="K479" s="12" t="s">
        <v>14733</v>
      </c>
      <c r="L479" s="12" t="s">
        <v>8400</v>
      </c>
      <c r="M479" s="12" t="s">
        <v>14734</v>
      </c>
      <c r="N479" s="12" t="s">
        <v>14735</v>
      </c>
    </row>
    <row r="480" spans="1:14">
      <c r="A480" s="12" t="s">
        <v>10621</v>
      </c>
      <c r="B480" s="8">
        <v>1979.48279169173</v>
      </c>
      <c r="C480" s="12">
        <v>694.40662486178496</v>
      </c>
      <c r="D480" s="8">
        <v>1.5112709088565199</v>
      </c>
      <c r="E480" s="12">
        <v>4.6029857469970297E-3</v>
      </c>
      <c r="F480" s="8" t="s">
        <v>3891</v>
      </c>
      <c r="G480" s="12" t="s">
        <v>3892</v>
      </c>
      <c r="H480" s="12">
        <v>1</v>
      </c>
      <c r="I480" s="13" t="str">
        <f>HYPERLINK("http://www.ncbi.nlm.nih.gov/gene/54928", "54928")</f>
        <v>54928</v>
      </c>
      <c r="J480" s="13" t="str">
        <f>HYPERLINK("http://www.ncbi.nlm.nih.gov/nuccore/NM_017813", "NM_017813")</f>
        <v>NM_017813</v>
      </c>
      <c r="K480" s="12" t="s">
        <v>3893</v>
      </c>
      <c r="L480" s="13" t="str">
        <f>HYPERLINK("http://asia.ensembl.org/Homo_sapiens/Gene/Summary?g=ENSG00000104331", "ENSG00000104331")</f>
        <v>ENSG00000104331</v>
      </c>
      <c r="M480" s="12" t="s">
        <v>15648</v>
      </c>
      <c r="N480" s="12" t="s">
        <v>15649</v>
      </c>
    </row>
    <row r="481" spans="1:14">
      <c r="A481" s="12" t="s">
        <v>9818</v>
      </c>
      <c r="B481" s="8">
        <v>170.574472453536</v>
      </c>
      <c r="C481" s="12">
        <v>59.864950738543797</v>
      </c>
      <c r="D481" s="8">
        <v>1.51061825686776</v>
      </c>
      <c r="E481" s="12">
        <v>1.39549008579977E-2</v>
      </c>
      <c r="F481" s="8" t="s">
        <v>9819</v>
      </c>
      <c r="G481" s="12" t="s">
        <v>9820</v>
      </c>
      <c r="H481" s="12">
        <v>1</v>
      </c>
      <c r="I481" s="13" t="str">
        <f>HYPERLINK("http://www.ncbi.nlm.nih.gov/gene/116842", "116842")</f>
        <v>116842</v>
      </c>
      <c r="J481" s="13" t="str">
        <f>HYPERLINK("http://www.ncbi.nlm.nih.gov/nuccore/NM_052971", "NM_052971")</f>
        <v>NM_052971</v>
      </c>
      <c r="K481" s="12" t="s">
        <v>9821</v>
      </c>
      <c r="L481" s="13" t="str">
        <f>HYPERLINK("http://asia.ensembl.org/Homo_sapiens/Gene/Summary?g=ENSG00000164406", "ENSG00000164406")</f>
        <v>ENSG00000164406</v>
      </c>
      <c r="M481" s="12" t="s">
        <v>15185</v>
      </c>
      <c r="N481" s="12" t="s">
        <v>3678</v>
      </c>
    </row>
    <row r="482" spans="1:14">
      <c r="A482" s="12" t="s">
        <v>2440</v>
      </c>
      <c r="B482" s="8">
        <v>5621.0075954166796</v>
      </c>
      <c r="C482" s="12">
        <v>1974.4928889923699</v>
      </c>
      <c r="D482" s="8">
        <v>1.5093465923282401</v>
      </c>
      <c r="E482" s="12">
        <v>2.4206575588882201E-3</v>
      </c>
      <c r="F482" s="8" t="s">
        <v>2441</v>
      </c>
      <c r="G482" s="12" t="s">
        <v>2442</v>
      </c>
      <c r="H482" s="12">
        <v>1</v>
      </c>
      <c r="I482" s="13" t="str">
        <f>HYPERLINK("http://www.ncbi.nlm.nih.gov/gene/4217", "4217")</f>
        <v>4217</v>
      </c>
      <c r="J482" s="13" t="str">
        <f>HYPERLINK("http://www.ncbi.nlm.nih.gov/nuccore/NM_005923", "NM_005923")</f>
        <v>NM_005923</v>
      </c>
      <c r="K482" s="12" t="s">
        <v>2443</v>
      </c>
      <c r="L482" s="13" t="str">
        <f>HYPERLINK("http://asia.ensembl.org/Homo_sapiens/Gene/Summary?g=ENSG00000197442", "ENSG00000197442")</f>
        <v>ENSG00000197442</v>
      </c>
      <c r="M482" s="12" t="s">
        <v>12639</v>
      </c>
      <c r="N482" s="12" t="s">
        <v>2444</v>
      </c>
    </row>
    <row r="483" spans="1:14">
      <c r="A483" s="12" t="s">
        <v>2061</v>
      </c>
      <c r="B483" s="8">
        <v>146.11199260850299</v>
      </c>
      <c r="C483" s="12">
        <v>51.387778895783001</v>
      </c>
      <c r="D483" s="8">
        <v>1.5075773949742499</v>
      </c>
      <c r="E483" s="12">
        <v>1.0709643430797699E-2</v>
      </c>
      <c r="F483" s="8" t="s">
        <v>2062</v>
      </c>
      <c r="G483" s="12" t="s">
        <v>12530</v>
      </c>
      <c r="H483" s="12">
        <v>1</v>
      </c>
      <c r="I483" s="13" t="str">
        <f>HYPERLINK("http://www.ncbi.nlm.nih.gov/gene/64398", "64398")</f>
        <v>64398</v>
      </c>
      <c r="J483" s="12" t="s">
        <v>12531</v>
      </c>
      <c r="K483" s="12" t="s">
        <v>12532</v>
      </c>
      <c r="L483" s="13" t="str">
        <f>HYPERLINK("http://asia.ensembl.org/Homo_sapiens/Gene/Summary?g=ENSG00000072415", "ENSG00000072415")</f>
        <v>ENSG00000072415</v>
      </c>
      <c r="M483" s="12" t="s">
        <v>12533</v>
      </c>
      <c r="N483" s="12" t="s">
        <v>12534</v>
      </c>
    </row>
    <row r="484" spans="1:14">
      <c r="A484" s="12" t="s">
        <v>7130</v>
      </c>
      <c r="B484" s="8">
        <v>2413.5980381843001</v>
      </c>
      <c r="C484" s="12">
        <v>849.30673682516294</v>
      </c>
      <c r="D484" s="8">
        <v>1.50682783015862</v>
      </c>
      <c r="E484" s="12">
        <v>5.3670947013767E-3</v>
      </c>
      <c r="F484" s="8" t="s">
        <v>7131</v>
      </c>
      <c r="G484" s="12" t="s">
        <v>7132</v>
      </c>
      <c r="H484" s="12">
        <v>1</v>
      </c>
      <c r="I484" s="13" t="str">
        <f>HYPERLINK("http://www.ncbi.nlm.nih.gov/gene/152815", "152815")</f>
        <v>152815</v>
      </c>
      <c r="J484" s="13" t="str">
        <f>HYPERLINK("http://www.ncbi.nlm.nih.gov/nuccore/NM_144721", "NM_144721")</f>
        <v>NM_144721</v>
      </c>
      <c r="K484" s="12" t="s">
        <v>7133</v>
      </c>
      <c r="L484" s="13" t="str">
        <f>HYPERLINK("http://asia.ensembl.org/Homo_sapiens/Gene/Summary?g=ENSG00000174796", "ENSG00000174796")</f>
        <v>ENSG00000174796</v>
      </c>
      <c r="M484" s="12" t="s">
        <v>14358</v>
      </c>
      <c r="N484" s="12" t="s">
        <v>14359</v>
      </c>
    </row>
    <row r="485" spans="1:14">
      <c r="A485" s="12" t="s">
        <v>3602</v>
      </c>
      <c r="B485" s="8">
        <v>16101.271835166801</v>
      </c>
      <c r="C485" s="12">
        <v>5666.0709482900602</v>
      </c>
      <c r="D485" s="8">
        <v>1.5067540791412199</v>
      </c>
      <c r="E485" s="12">
        <v>3.8881471171075899E-3</v>
      </c>
      <c r="F485" s="8" t="s">
        <v>3603</v>
      </c>
      <c r="G485" s="12" t="s">
        <v>614</v>
      </c>
      <c r="H485" s="12">
        <v>1</v>
      </c>
      <c r="I485" s="13" t="str">
        <f>HYPERLINK("http://www.ncbi.nlm.nih.gov/gene/80018", "80018")</f>
        <v>80018</v>
      </c>
      <c r="J485" s="13" t="str">
        <f>HYPERLINK("http://www.ncbi.nlm.nih.gov/nuccore/NM_024953", "NM_024953")</f>
        <v>NM_024953</v>
      </c>
      <c r="K485" s="12" t="s">
        <v>3604</v>
      </c>
      <c r="L485" s="13" t="str">
        <f>HYPERLINK("http://asia.ensembl.org/Homo_sapiens/Gene/Summary?g=ENSG00000111300", "ENSG00000111300")</f>
        <v>ENSG00000111300</v>
      </c>
      <c r="M485" s="12" t="s">
        <v>13055</v>
      </c>
      <c r="N485" s="12" t="s">
        <v>13056</v>
      </c>
    </row>
    <row r="486" spans="1:14">
      <c r="A486" s="12" t="s">
        <v>8131</v>
      </c>
      <c r="B486" s="8">
        <v>504.54498460170299</v>
      </c>
      <c r="C486" s="12">
        <v>177.616969199186</v>
      </c>
      <c r="D486" s="8">
        <v>1.50621348324867</v>
      </c>
      <c r="E486" s="12">
        <v>1.4135126483968601E-3</v>
      </c>
      <c r="F486" s="8" t="s">
        <v>6194</v>
      </c>
      <c r="G486" s="12" t="s">
        <v>14680</v>
      </c>
      <c r="H486" s="12">
        <v>1</v>
      </c>
      <c r="I486" s="13" t="str">
        <f>HYPERLINK("http://www.ncbi.nlm.nih.gov/gene/10778", "10778")</f>
        <v>10778</v>
      </c>
      <c r="J486" s="12" t="s">
        <v>14681</v>
      </c>
      <c r="K486" s="12" t="s">
        <v>13129</v>
      </c>
      <c r="L486" s="13" t="str">
        <f>HYPERLINK("http://asia.ensembl.org/Homo_sapiens/Gene/Summary?g=ENSG00000257267", "ENSG00000257267")</f>
        <v>ENSG00000257267</v>
      </c>
      <c r="M486" s="12" t="s">
        <v>14682</v>
      </c>
    </row>
    <row r="487" spans="1:14">
      <c r="A487" s="12" t="s">
        <v>514</v>
      </c>
      <c r="B487" s="8">
        <v>433.99364221571398</v>
      </c>
      <c r="C487" s="12">
        <v>152.79367475152301</v>
      </c>
      <c r="D487" s="8">
        <v>1.5060890871789201</v>
      </c>
      <c r="E487" s="12">
        <v>2.98528581624546E-3</v>
      </c>
      <c r="F487" s="8" t="s">
        <v>515</v>
      </c>
      <c r="G487" s="12" t="s">
        <v>516</v>
      </c>
      <c r="H487" s="12">
        <v>1</v>
      </c>
      <c r="I487" s="13" t="str">
        <f>HYPERLINK("http://www.ncbi.nlm.nih.gov/gene/151393", "151393")</f>
        <v>151393</v>
      </c>
      <c r="J487" s="12" t="s">
        <v>12004</v>
      </c>
      <c r="K487" s="12" t="s">
        <v>12005</v>
      </c>
      <c r="L487" s="13" t="str">
        <f>HYPERLINK("http://asia.ensembl.org/Homo_sapiens/Gene/Summary?g=ENSG00000115841", "ENSG00000115841")</f>
        <v>ENSG00000115841</v>
      </c>
      <c r="M487" s="12" t="s">
        <v>12006</v>
      </c>
      <c r="N487" s="12" t="s">
        <v>12007</v>
      </c>
    </row>
    <row r="488" spans="1:14">
      <c r="A488" s="12" t="s">
        <v>10068</v>
      </c>
      <c r="B488" s="8">
        <v>7771.3671771723002</v>
      </c>
      <c r="C488" s="12">
        <v>2737.0706467060199</v>
      </c>
      <c r="D488" s="8">
        <v>1.50553575429731</v>
      </c>
      <c r="E488" s="12">
        <v>2.9834988701213901E-3</v>
      </c>
      <c r="F488" s="8" t="s">
        <v>6092</v>
      </c>
      <c r="G488" s="12" t="s">
        <v>6093</v>
      </c>
      <c r="H488" s="12">
        <v>1</v>
      </c>
      <c r="I488" s="13" t="str">
        <f>HYPERLINK("http://www.ncbi.nlm.nih.gov/gene/23095", "23095")</f>
        <v>23095</v>
      </c>
      <c r="J488" s="13" t="str">
        <f>HYPERLINK("http://www.ncbi.nlm.nih.gov/nuccore/NM_183416", "NM_183416")</f>
        <v>NM_183416</v>
      </c>
      <c r="K488" s="12" t="s">
        <v>10069</v>
      </c>
      <c r="L488" s="13" t="str">
        <f>HYPERLINK("http://asia.ensembl.org/Homo_sapiens/Gene/Summary?g=ENSG00000054523", "ENSG00000054523")</f>
        <v>ENSG00000054523</v>
      </c>
      <c r="M488" s="12" t="s">
        <v>15283</v>
      </c>
      <c r="N488" s="12" t="s">
        <v>15284</v>
      </c>
    </row>
    <row r="489" spans="1:14">
      <c r="A489" s="12" t="s">
        <v>10162</v>
      </c>
      <c r="B489" s="8">
        <v>1088.8175755735999</v>
      </c>
      <c r="C489" s="12">
        <v>383.52743094935602</v>
      </c>
      <c r="D489" s="8">
        <v>1.5053605878712899</v>
      </c>
      <c r="E489" s="12">
        <v>2.1516606680657802E-2</v>
      </c>
      <c r="F489" s="8" t="s">
        <v>10163</v>
      </c>
      <c r="G489" s="12" t="s">
        <v>15303</v>
      </c>
      <c r="H489" s="12">
        <v>1</v>
      </c>
      <c r="I489" s="13" t="str">
        <f>HYPERLINK("http://www.ncbi.nlm.nih.gov/gene/56135", "56135")</f>
        <v>56135</v>
      </c>
      <c r="J489" s="13" t="str">
        <f>HYPERLINK("http://www.ncbi.nlm.nih.gov/nuccore/NM_031882", "NM_031882")</f>
        <v>NM_031882</v>
      </c>
      <c r="K489" s="12" t="s">
        <v>10164</v>
      </c>
      <c r="L489" s="13" t="str">
        <f>HYPERLINK("http://asia.ensembl.org/Homo_sapiens/Gene/Summary?g=ENSG00000248383", "ENSG00000248383")</f>
        <v>ENSG00000248383</v>
      </c>
      <c r="M489" s="12" t="s">
        <v>15304</v>
      </c>
      <c r="N489" s="12" t="s">
        <v>15305</v>
      </c>
    </row>
    <row r="490" spans="1:14">
      <c r="A490" s="12" t="s">
        <v>11315</v>
      </c>
      <c r="B490" s="8">
        <v>910.93974253450995</v>
      </c>
      <c r="C490" s="12">
        <v>320.97697732009101</v>
      </c>
      <c r="D490" s="8">
        <v>1.50488580377267</v>
      </c>
      <c r="E490" s="12">
        <v>4.9635361135258601E-4</v>
      </c>
      <c r="F490" s="8" t="s">
        <v>941</v>
      </c>
      <c r="G490" s="12" t="s">
        <v>16105</v>
      </c>
      <c r="H490" s="12">
        <v>1</v>
      </c>
      <c r="I490" s="13" t="str">
        <f>HYPERLINK("http://www.ncbi.nlm.nih.gov/gene/113251", "113251")</f>
        <v>113251</v>
      </c>
      <c r="J490" s="12" t="s">
        <v>16106</v>
      </c>
      <c r="K490" s="12" t="s">
        <v>16107</v>
      </c>
      <c r="L490" s="13" t="str">
        <f>HYPERLINK("http://asia.ensembl.org/Homo_sapiens/Gene/Summary?g=ENSG00000161813", "ENSG00000161813")</f>
        <v>ENSG00000161813</v>
      </c>
      <c r="M490" s="12" t="s">
        <v>16108</v>
      </c>
      <c r="N490" s="12" t="s">
        <v>16109</v>
      </c>
    </row>
    <row r="491" spans="1:14">
      <c r="A491" s="12" t="s">
        <v>2710</v>
      </c>
      <c r="B491" s="8">
        <v>547.73030474049403</v>
      </c>
      <c r="C491" s="12">
        <v>193.00951392411</v>
      </c>
      <c r="D491" s="8">
        <v>1.50479374047926</v>
      </c>
      <c r="E491" s="12">
        <v>1.1137538206001499E-2</v>
      </c>
      <c r="F491" s="8" t="s">
        <v>2711</v>
      </c>
      <c r="G491" s="12" t="s">
        <v>2712</v>
      </c>
      <c r="H491" s="12">
        <v>1</v>
      </c>
      <c r="I491" s="13" t="str">
        <f>HYPERLINK("http://www.ncbi.nlm.nih.gov/gene/23024", "23024")</f>
        <v>23024</v>
      </c>
      <c r="J491" s="13" t="str">
        <f>HYPERLINK("http://www.ncbi.nlm.nih.gov/nuccore/NM_015009", "NM_015009")</f>
        <v>NM_015009</v>
      </c>
      <c r="K491" s="12" t="s">
        <v>2713</v>
      </c>
      <c r="L491" s="13" t="str">
        <f>HYPERLINK("http://asia.ensembl.org/Homo_sapiens/Gene/Summary?g=ENSG00000121440", "ENSG00000121440")</f>
        <v>ENSG00000121440</v>
      </c>
      <c r="M491" s="12" t="s">
        <v>12754</v>
      </c>
      <c r="N491" s="12" t="s">
        <v>12755</v>
      </c>
    </row>
    <row r="492" spans="1:14">
      <c r="A492" s="12" t="s">
        <v>10606</v>
      </c>
      <c r="B492" s="8">
        <v>2371.8413781896602</v>
      </c>
      <c r="C492" s="12">
        <v>836.77093021338897</v>
      </c>
      <c r="D492" s="8">
        <v>1.5031028921737399</v>
      </c>
      <c r="E492" s="12">
        <v>8.7180960716611994E-3</v>
      </c>
      <c r="F492" s="8" t="s">
        <v>3963</v>
      </c>
      <c r="G492" s="12" t="s">
        <v>3964</v>
      </c>
      <c r="H492" s="12">
        <v>1</v>
      </c>
      <c r="I492" s="13" t="str">
        <f>HYPERLINK("http://www.ncbi.nlm.nih.gov/gene/55432", "55432")</f>
        <v>55432</v>
      </c>
      <c r="J492" s="13" t="str">
        <f>HYPERLINK("http://www.ncbi.nlm.nih.gov/nuccore/NM_018566", "NM_018566")</f>
        <v>NM_018566</v>
      </c>
      <c r="K492" s="12" t="s">
        <v>3965</v>
      </c>
      <c r="L492" s="13" t="str">
        <f>HYPERLINK("http://asia.ensembl.org/Homo_sapiens/Gene/Summary?g=ENSG00000180667", "ENSG00000180667")</f>
        <v>ENSG00000180667</v>
      </c>
      <c r="M492" s="12" t="s">
        <v>15624</v>
      </c>
      <c r="N492" s="12" t="s">
        <v>15625</v>
      </c>
    </row>
    <row r="493" spans="1:14">
      <c r="A493" s="12" t="s">
        <v>2392</v>
      </c>
      <c r="B493" s="8">
        <v>1272.48942854088</v>
      </c>
      <c r="C493" s="12">
        <v>449.02412778751898</v>
      </c>
      <c r="D493" s="8">
        <v>1.5027887971782701</v>
      </c>
      <c r="E493" s="12">
        <v>8.6888282804887095E-3</v>
      </c>
      <c r="F493" s="8" t="s">
        <v>2393</v>
      </c>
      <c r="G493" s="12" t="s">
        <v>2394</v>
      </c>
      <c r="H493" s="12">
        <v>1</v>
      </c>
      <c r="I493" s="13" t="str">
        <f>HYPERLINK("http://www.ncbi.nlm.nih.gov/gene/57515", "57515")</f>
        <v>57515</v>
      </c>
      <c r="J493" s="13" t="str">
        <f>HYPERLINK("http://www.ncbi.nlm.nih.gov/nuccore/NM_020755", "NM_020755")</f>
        <v>NM_020755</v>
      </c>
      <c r="K493" s="12" t="s">
        <v>2395</v>
      </c>
      <c r="L493" s="13" t="str">
        <f>HYPERLINK("http://asia.ensembl.org/Homo_sapiens/Gene/Summary?g=ENSG00000111897", "ENSG00000111897")</f>
        <v>ENSG00000111897</v>
      </c>
      <c r="M493" s="12" t="s">
        <v>2396</v>
      </c>
      <c r="N493" s="12" t="s">
        <v>2397</v>
      </c>
    </row>
    <row r="494" spans="1:14">
      <c r="A494" s="12" t="s">
        <v>5272</v>
      </c>
      <c r="B494" s="8">
        <v>10188.735784136201</v>
      </c>
      <c r="C494" s="12">
        <v>3598.6577901392602</v>
      </c>
      <c r="D494" s="8">
        <v>1.5014442307401801</v>
      </c>
      <c r="E494" s="12">
        <v>2.69072949428255E-3</v>
      </c>
      <c r="F494" s="8" t="s">
        <v>5273</v>
      </c>
      <c r="G494" s="12" t="s">
        <v>5274</v>
      </c>
      <c r="H494" s="12">
        <v>1</v>
      </c>
      <c r="I494" s="13" t="str">
        <f>HYPERLINK("http://www.ncbi.nlm.nih.gov/gene/55854", "55854")</f>
        <v>55854</v>
      </c>
      <c r="J494" s="13" t="str">
        <f>HYPERLINK("http://www.ncbi.nlm.nih.gov/nuccore/NM_018471", "NM_018471")</f>
        <v>NM_018471</v>
      </c>
      <c r="K494" s="12" t="s">
        <v>5275</v>
      </c>
      <c r="L494" s="13" t="str">
        <f>HYPERLINK("http://asia.ensembl.org/Homo_sapiens/Gene/Summary?g=ENSG00000065548", "ENSG00000065548")</f>
        <v>ENSG00000065548</v>
      </c>
      <c r="M494" s="12" t="s">
        <v>13652</v>
      </c>
      <c r="N494" s="12" t="s">
        <v>13653</v>
      </c>
    </row>
    <row r="495" spans="1:14">
      <c r="A495" s="12" t="s">
        <v>7505</v>
      </c>
      <c r="B495" s="8">
        <v>954.44395833669205</v>
      </c>
      <c r="C495" s="12">
        <v>337.13680126620102</v>
      </c>
      <c r="D495" s="8">
        <v>1.5013263720334999</v>
      </c>
      <c r="E495" s="12">
        <v>1.0326073622940401E-2</v>
      </c>
      <c r="F495" s="8" t="s">
        <v>1895</v>
      </c>
      <c r="G495" s="12" t="s">
        <v>1896</v>
      </c>
      <c r="H495" s="12">
        <v>1</v>
      </c>
      <c r="I495" s="13" t="str">
        <f>HYPERLINK("http://www.ncbi.nlm.nih.gov/gene/55230", "55230")</f>
        <v>55230</v>
      </c>
      <c r="J495" s="13" t="str">
        <f>HYPERLINK("http://www.ncbi.nlm.nih.gov/nuccore/NM_018218", "NM_018218")</f>
        <v>NM_018218</v>
      </c>
      <c r="K495" s="12" t="s">
        <v>1897</v>
      </c>
      <c r="L495" s="13" t="str">
        <f>HYPERLINK("http://asia.ensembl.org/Homo_sapiens/Gene/Summary?g=ENSG00000085982", "ENSG00000085982")</f>
        <v>ENSG00000085982</v>
      </c>
      <c r="M495" s="12" t="s">
        <v>14456</v>
      </c>
      <c r="N495" s="12" t="s">
        <v>14457</v>
      </c>
    </row>
    <row r="496" spans="1:14">
      <c r="A496" s="12" t="s">
        <v>664</v>
      </c>
      <c r="B496" s="8">
        <v>172.153899414308</v>
      </c>
      <c r="C496" s="12">
        <v>60.817525520096503</v>
      </c>
      <c r="D496" s="8">
        <v>1.5011398355896199</v>
      </c>
      <c r="E496" s="12">
        <v>3.56036506514955E-3</v>
      </c>
      <c r="F496" s="8" t="s">
        <v>665</v>
      </c>
      <c r="G496" s="12" t="s">
        <v>666</v>
      </c>
      <c r="H496" s="12">
        <v>1</v>
      </c>
      <c r="I496" s="13" t="str">
        <f>HYPERLINK("http://www.ncbi.nlm.nih.gov/gene/64434", "64434")</f>
        <v>64434</v>
      </c>
      <c r="J496" s="13" t="str">
        <f>HYPERLINK("http://www.ncbi.nlm.nih.gov/nuccore/NM_138400", "NM_138400")</f>
        <v>NM_138400</v>
      </c>
      <c r="K496" s="12" t="s">
        <v>667</v>
      </c>
      <c r="L496" s="13" t="str">
        <f>HYPERLINK("http://asia.ensembl.org/Homo_sapiens/Gene/Summary?g=ENSG00000146909", "ENSG00000146909")</f>
        <v>ENSG00000146909</v>
      </c>
      <c r="M496" s="12" t="s">
        <v>12061</v>
      </c>
      <c r="N496" s="12" t="s">
        <v>668</v>
      </c>
    </row>
    <row r="497" spans="1:14">
      <c r="A497" s="12" t="s">
        <v>10519</v>
      </c>
      <c r="B497" s="8">
        <v>4836.2541814951201</v>
      </c>
      <c r="C497" s="12">
        <v>1708.6403906124399</v>
      </c>
      <c r="D497" s="8">
        <v>1.5010412792210499</v>
      </c>
      <c r="E497" s="12">
        <v>2.5139677573792398E-3</v>
      </c>
      <c r="F497" s="8" t="s">
        <v>5768</v>
      </c>
      <c r="G497" s="12" t="s">
        <v>5769</v>
      </c>
      <c r="H497" s="12">
        <v>1</v>
      </c>
      <c r="I497" s="13" t="str">
        <f>HYPERLINK("http://www.ncbi.nlm.nih.gov/gene/153241", "153241")</f>
        <v>153241</v>
      </c>
      <c r="J497" s="12" t="s">
        <v>15517</v>
      </c>
      <c r="K497" s="12" t="s">
        <v>15518</v>
      </c>
      <c r="L497" s="13" t="str">
        <f>HYPERLINK("http://asia.ensembl.org/Homo_sapiens/Gene/Summary?g=ENSG00000168944", "ENSG00000168944")</f>
        <v>ENSG00000168944</v>
      </c>
      <c r="M497" s="12" t="s">
        <v>15519</v>
      </c>
      <c r="N497" s="12" t="s">
        <v>15520</v>
      </c>
    </row>
    <row r="498" spans="1:14">
      <c r="A498" s="12" t="s">
        <v>10868</v>
      </c>
      <c r="B498" s="8">
        <v>1169.7757121053901</v>
      </c>
      <c r="C498" s="12">
        <v>413.53131453577299</v>
      </c>
      <c r="D498" s="8">
        <v>1.5001634537219599</v>
      </c>
      <c r="E498" s="12">
        <v>1.2926414478043799E-3</v>
      </c>
      <c r="F498" s="8" t="s">
        <v>10869</v>
      </c>
      <c r="G498" s="12" t="s">
        <v>10870</v>
      </c>
      <c r="H498" s="12">
        <v>4</v>
      </c>
      <c r="I498" s="12" t="s">
        <v>10871</v>
      </c>
      <c r="J498" s="12" t="s">
        <v>15938</v>
      </c>
      <c r="K498" s="12" t="s">
        <v>15939</v>
      </c>
      <c r="L498" s="12" t="s">
        <v>10872</v>
      </c>
      <c r="M498" s="12" t="s">
        <v>15940</v>
      </c>
      <c r="N498" s="12" t="s">
        <v>15941</v>
      </c>
    </row>
    <row r="499" spans="1:14">
      <c r="A499" s="12" t="s">
        <v>9060</v>
      </c>
      <c r="B499" s="8">
        <v>1857.17532167737</v>
      </c>
      <c r="C499" s="12">
        <v>656.67323159202294</v>
      </c>
      <c r="D499" s="8">
        <v>1.4998624634622599</v>
      </c>
      <c r="E499" s="12">
        <v>1.7333119039546999E-3</v>
      </c>
      <c r="F499" s="8" t="s">
        <v>4664</v>
      </c>
      <c r="G499" s="12" t="s">
        <v>4665</v>
      </c>
      <c r="H499" s="12">
        <v>1</v>
      </c>
      <c r="I499" s="13" t="str">
        <f>HYPERLINK("http://www.ncbi.nlm.nih.gov/gene/51274", "51274")</f>
        <v>51274</v>
      </c>
      <c r="J499" s="13" t="str">
        <f>HYPERLINK("http://www.ncbi.nlm.nih.gov/nuccore/NM_016531", "NM_016531")</f>
        <v>NM_016531</v>
      </c>
      <c r="K499" s="12" t="s">
        <v>4666</v>
      </c>
      <c r="L499" s="13" t="str">
        <f>HYPERLINK("http://asia.ensembl.org/Homo_sapiens/Gene/Summary?g=ENSG00000109787", "ENSG00000109787")</f>
        <v>ENSG00000109787</v>
      </c>
      <c r="M499" s="12" t="s">
        <v>14982</v>
      </c>
      <c r="N499" s="12" t="s">
        <v>14983</v>
      </c>
    </row>
    <row r="500" spans="1:14">
      <c r="A500" s="12" t="s">
        <v>9002</v>
      </c>
      <c r="B500" s="8">
        <v>357.72910790770999</v>
      </c>
      <c r="C500" s="12">
        <v>126.50675146089399</v>
      </c>
      <c r="D500" s="8">
        <v>1.4996531318716499</v>
      </c>
      <c r="E500" s="12">
        <v>3.0546773752395699E-3</v>
      </c>
      <c r="F500" s="8" t="s">
        <v>9003</v>
      </c>
      <c r="G500" s="12" t="s">
        <v>9004</v>
      </c>
      <c r="H500" s="12">
        <v>1</v>
      </c>
      <c r="I500" s="13" t="str">
        <f>HYPERLINK("http://www.ncbi.nlm.nih.gov/gene/92285", "92285")</f>
        <v>92285</v>
      </c>
      <c r="J500" s="13" t="str">
        <f>HYPERLINK("http://www.ncbi.nlm.nih.gov/nuccore/NM_152279", "NM_152279")</f>
        <v>NM_152279</v>
      </c>
      <c r="K500" s="12" t="s">
        <v>9005</v>
      </c>
      <c r="L500" s="13" t="str">
        <f>HYPERLINK("http://asia.ensembl.org/Homo_sapiens/Gene/Summary?g=ENSG00000245680", "ENSG00000245680")</f>
        <v>ENSG00000245680</v>
      </c>
      <c r="M500" s="12" t="s">
        <v>14962</v>
      </c>
      <c r="N500" s="12" t="s">
        <v>14963</v>
      </c>
    </row>
    <row r="501" spans="1:14">
      <c r="A501" s="12" t="s">
        <v>8195</v>
      </c>
      <c r="B501" s="8">
        <v>271.25387594785201</v>
      </c>
      <c r="C501" s="12">
        <v>95.991667116029006</v>
      </c>
      <c r="D501" s="8">
        <v>1.4986626740605899</v>
      </c>
      <c r="E501" s="12">
        <v>1.13511206786177E-3</v>
      </c>
      <c r="F501" s="8" t="s">
        <v>8196</v>
      </c>
      <c r="G501" s="12" t="s">
        <v>8197</v>
      </c>
      <c r="H501" s="12">
        <v>4</v>
      </c>
      <c r="I501" s="12" t="s">
        <v>8198</v>
      </c>
      <c r="J501" s="12" t="s">
        <v>8199</v>
      </c>
      <c r="K501" s="12" t="s">
        <v>8200</v>
      </c>
      <c r="L501" s="12" t="s">
        <v>8201</v>
      </c>
      <c r="M501" s="12" t="s">
        <v>14699</v>
      </c>
      <c r="N501" s="12" t="s">
        <v>14700</v>
      </c>
    </row>
    <row r="502" spans="1:14">
      <c r="A502" s="12" t="s">
        <v>4521</v>
      </c>
      <c r="B502" s="8">
        <v>4836.8852924053099</v>
      </c>
      <c r="C502" s="12">
        <v>1712.7233988283699</v>
      </c>
      <c r="D502" s="8">
        <v>1.49778614635473</v>
      </c>
      <c r="E502" s="12">
        <v>6.7364401968488105E-4</v>
      </c>
      <c r="F502" s="8" t="s">
        <v>4522</v>
      </c>
      <c r="G502" s="12" t="s">
        <v>13274</v>
      </c>
      <c r="H502" s="12">
        <v>1</v>
      </c>
      <c r="I502" s="13" t="str">
        <f>HYPERLINK("http://www.ncbi.nlm.nih.gov/gene/3912", "3912")</f>
        <v>3912</v>
      </c>
      <c r="J502" s="13" t="str">
        <f>HYPERLINK("http://www.ncbi.nlm.nih.gov/nuccore/NM_002291", "NM_002291")</f>
        <v>NM_002291</v>
      </c>
      <c r="K502" s="12" t="s">
        <v>4523</v>
      </c>
      <c r="L502" s="13" t="str">
        <f>HYPERLINK("http://asia.ensembl.org/Homo_sapiens/Gene/Summary?g=ENSG00000091136", "ENSG00000091136")</f>
        <v>ENSG00000091136</v>
      </c>
      <c r="M502" s="12" t="s">
        <v>13275</v>
      </c>
      <c r="N502" s="12" t="s">
        <v>13276</v>
      </c>
    </row>
    <row r="503" spans="1:14">
      <c r="A503" s="12" t="s">
        <v>9918</v>
      </c>
      <c r="B503" s="8">
        <v>1126.2420949268301</v>
      </c>
      <c r="C503" s="12">
        <v>398.79976980626401</v>
      </c>
      <c r="D503" s="8">
        <v>1.4977804977217399</v>
      </c>
      <c r="E503" s="12">
        <v>1.9754048595655798E-3</v>
      </c>
      <c r="F503" s="8" t="s">
        <v>7523</v>
      </c>
      <c r="G503" s="12" t="s">
        <v>7524</v>
      </c>
      <c r="H503" s="12">
        <v>1</v>
      </c>
      <c r="I503" s="13" t="str">
        <f>HYPERLINK("http://www.ncbi.nlm.nih.gov/gene/7468", "7468")</f>
        <v>7468</v>
      </c>
      <c r="J503" s="13" t="str">
        <f>HYPERLINK("http://www.ncbi.nlm.nih.gov/nuccore/NM_133334", "NM_133334")</f>
        <v>NM_133334</v>
      </c>
      <c r="K503" s="12" t="s">
        <v>9919</v>
      </c>
      <c r="L503" s="13" t="str">
        <f>HYPERLINK("http://asia.ensembl.org/Homo_sapiens/Gene/Summary?g=ENSG00000109685", "ENSG00000109685")</f>
        <v>ENSG00000109685</v>
      </c>
      <c r="M503" s="12" t="s">
        <v>15243</v>
      </c>
      <c r="N503" s="12" t="s">
        <v>15244</v>
      </c>
    </row>
    <row r="504" spans="1:14">
      <c r="A504" s="12" t="s">
        <v>10582</v>
      </c>
      <c r="B504" s="8">
        <v>2580.05307530046</v>
      </c>
      <c r="C504" s="12">
        <v>914.023278241958</v>
      </c>
      <c r="D504" s="8">
        <v>1.4970979309499099</v>
      </c>
      <c r="E504" s="12">
        <v>3.9048602397376499E-3</v>
      </c>
      <c r="F504" s="8" t="s">
        <v>2129</v>
      </c>
      <c r="G504" s="12" t="s">
        <v>2130</v>
      </c>
      <c r="H504" s="12">
        <v>1</v>
      </c>
      <c r="I504" s="13" t="str">
        <f>HYPERLINK("http://www.ncbi.nlm.nih.gov/gene/1737", "1737")</f>
        <v>1737</v>
      </c>
      <c r="J504" s="13" t="str">
        <f>HYPERLINK("http://www.ncbi.nlm.nih.gov/nuccore/NM_001931", "NM_001931")</f>
        <v>NM_001931</v>
      </c>
      <c r="K504" s="12" t="s">
        <v>2131</v>
      </c>
      <c r="L504" s="13" t="str">
        <f>HYPERLINK("http://asia.ensembl.org/Homo_sapiens/Gene/Summary?g=ENSG00000150768", "ENSG00000150768")</f>
        <v>ENSG00000150768</v>
      </c>
      <c r="M504" s="12" t="s">
        <v>15596</v>
      </c>
      <c r="N504" s="12" t="s">
        <v>15597</v>
      </c>
    </row>
    <row r="505" spans="1:14">
      <c r="A505" s="12" t="s">
        <v>8806</v>
      </c>
      <c r="B505" s="8">
        <v>349.85580881459202</v>
      </c>
      <c r="C505" s="12">
        <v>123.94220713256399</v>
      </c>
      <c r="D505" s="8">
        <v>1.49709288075933</v>
      </c>
      <c r="E505" s="12">
        <v>1.2767211930105399E-2</v>
      </c>
      <c r="F505" s="8" t="s">
        <v>8807</v>
      </c>
      <c r="G505" s="12" t="s">
        <v>8808</v>
      </c>
      <c r="H505" s="12">
        <v>1</v>
      </c>
      <c r="I505" s="13" t="str">
        <f>HYPERLINK("http://www.ncbi.nlm.nih.gov/gene/158158", "158158")</f>
        <v>158158</v>
      </c>
      <c r="J505" s="13" t="str">
        <f>HYPERLINK("http://www.ncbi.nlm.nih.gov/nuccore/NM_152573", "NM_152573")</f>
        <v>NM_152573</v>
      </c>
      <c r="K505" s="12" t="s">
        <v>8809</v>
      </c>
      <c r="L505" s="13" t="str">
        <f>HYPERLINK("http://asia.ensembl.org/Homo_sapiens/Gene/Summary?g=ENSG00000165105", "ENSG00000165105")</f>
        <v>ENSG00000165105</v>
      </c>
      <c r="M505" s="12" t="s">
        <v>14899</v>
      </c>
      <c r="N505" s="12" t="s">
        <v>14900</v>
      </c>
    </row>
    <row r="506" spans="1:14">
      <c r="A506" s="12" t="s">
        <v>8782</v>
      </c>
      <c r="B506" s="8">
        <v>1161.1541320557201</v>
      </c>
      <c r="C506" s="12">
        <v>411.63483547919998</v>
      </c>
      <c r="D506" s="8">
        <v>1.4961225051539899</v>
      </c>
      <c r="E506" s="12">
        <v>7.5496866133029699E-3</v>
      </c>
      <c r="F506" s="8" t="s">
        <v>6763</v>
      </c>
      <c r="G506" s="12" t="s">
        <v>14875</v>
      </c>
      <c r="H506" s="12">
        <v>1</v>
      </c>
      <c r="I506" s="13" t="str">
        <f>HYPERLINK("http://www.ncbi.nlm.nih.gov/gene/157769", "157769")</f>
        <v>157769</v>
      </c>
      <c r="J506" s="13" t="str">
        <f>HYPERLINK("http://www.ncbi.nlm.nih.gov/nuccore/NM_144963", "NM_144963")</f>
        <v>NM_144963</v>
      </c>
      <c r="K506" s="12" t="s">
        <v>6764</v>
      </c>
      <c r="L506" s="13" t="str">
        <f>HYPERLINK("http://asia.ensembl.org/Homo_sapiens/Gene/Summary?g=ENSG00000176853", "ENSG00000176853")</f>
        <v>ENSG00000176853</v>
      </c>
      <c r="M506" s="12" t="s">
        <v>14876</v>
      </c>
      <c r="N506" s="12" t="s">
        <v>14877</v>
      </c>
    </row>
    <row r="507" spans="1:14">
      <c r="A507" s="12" t="s">
        <v>11231</v>
      </c>
      <c r="B507" s="8">
        <v>335.370108238998</v>
      </c>
      <c r="C507" s="12">
        <v>118.900887875141</v>
      </c>
      <c r="D507" s="8">
        <v>1.4959946180232799</v>
      </c>
      <c r="E507" s="12">
        <v>6.2242068361492804E-3</v>
      </c>
      <c r="F507" s="8" t="s">
        <v>38</v>
      </c>
      <c r="G507" s="12" t="s">
        <v>38</v>
      </c>
      <c r="H507" s="12">
        <v>1</v>
      </c>
      <c r="I507" s="12" t="s">
        <v>38</v>
      </c>
      <c r="J507" s="12" t="s">
        <v>38</v>
      </c>
      <c r="K507" s="12" t="s">
        <v>38</v>
      </c>
      <c r="L507" s="13" t="str">
        <f>HYPERLINK("http://asia.ensembl.org/Homo_sapiens/Gene/Summary?g=ENSG00000152413", "ENSG00000152413")</f>
        <v>ENSG00000152413</v>
      </c>
      <c r="M507" s="12" t="s">
        <v>11232</v>
      </c>
      <c r="N507" s="12" t="s">
        <v>13283</v>
      </c>
    </row>
    <row r="508" spans="1:14">
      <c r="A508" s="12" t="s">
        <v>10673</v>
      </c>
      <c r="B508" s="8">
        <v>1004.05637786182</v>
      </c>
      <c r="C508" s="12">
        <v>355.985672621834</v>
      </c>
      <c r="D508" s="8">
        <v>1.4959491957948099</v>
      </c>
      <c r="E508" s="12">
        <v>1.24354310846659E-3</v>
      </c>
      <c r="F508" s="8" t="s">
        <v>2949</v>
      </c>
      <c r="G508" s="12" t="s">
        <v>2950</v>
      </c>
      <c r="H508" s="12">
        <v>1</v>
      </c>
      <c r="I508" s="13" t="str">
        <f>HYPERLINK("http://www.ncbi.nlm.nih.gov/gene/11149", "11149")</f>
        <v>11149</v>
      </c>
      <c r="J508" s="12" t="s">
        <v>15688</v>
      </c>
      <c r="K508" s="12" t="s">
        <v>15689</v>
      </c>
      <c r="L508" s="13" t="str">
        <f>HYPERLINK("http://asia.ensembl.org/Homo_sapiens/Gene/Summary?g=ENSG00000112276", "ENSG00000112276")</f>
        <v>ENSG00000112276</v>
      </c>
      <c r="M508" s="12" t="s">
        <v>15690</v>
      </c>
      <c r="N508" s="12" t="s">
        <v>15691</v>
      </c>
    </row>
    <row r="509" spans="1:14">
      <c r="A509" s="12" t="s">
        <v>10065</v>
      </c>
      <c r="B509" s="8">
        <v>702.30169121600602</v>
      </c>
      <c r="C509" s="12">
        <v>249.05788042238501</v>
      </c>
      <c r="D509" s="8">
        <v>1.4956098493938199</v>
      </c>
      <c r="E509" s="12">
        <v>7.2449891063489204E-3</v>
      </c>
      <c r="F509" s="8" t="s">
        <v>4285</v>
      </c>
      <c r="G509" s="12" t="s">
        <v>4286</v>
      </c>
      <c r="H509" s="12">
        <v>1</v>
      </c>
      <c r="I509" s="13" t="str">
        <f>HYPERLINK("http://www.ncbi.nlm.nih.gov/gene/4481", "4481")</f>
        <v>4481</v>
      </c>
      <c r="J509" s="13" t="str">
        <f>HYPERLINK("http://www.ncbi.nlm.nih.gov/nuccore/NM_002445", "NM_002445")</f>
        <v>NM_002445</v>
      </c>
      <c r="K509" s="12" t="s">
        <v>10066</v>
      </c>
      <c r="L509" s="13" t="str">
        <f>HYPERLINK("http://asia.ensembl.org/Homo_sapiens/Gene/Summary?g=ENSG00000038945", "ENSG00000038945")</f>
        <v>ENSG00000038945</v>
      </c>
      <c r="M509" s="12" t="s">
        <v>15277</v>
      </c>
      <c r="N509" s="12" t="s">
        <v>15278</v>
      </c>
    </row>
    <row r="510" spans="1:14">
      <c r="A510" s="12" t="s">
        <v>5518</v>
      </c>
      <c r="B510" s="8">
        <v>3663.46100242283</v>
      </c>
      <c r="C510" s="12">
        <v>1299.4758930027399</v>
      </c>
      <c r="D510" s="8">
        <v>1.4952773881002701</v>
      </c>
      <c r="E510" s="12">
        <v>1.9581043873087402E-3</v>
      </c>
      <c r="F510" s="8" t="s">
        <v>5519</v>
      </c>
      <c r="G510" s="12" t="s">
        <v>13797</v>
      </c>
      <c r="H510" s="12">
        <v>1</v>
      </c>
      <c r="I510" s="13" t="str">
        <f>HYPERLINK("http://www.ncbi.nlm.nih.gov/gene/8672", "8672")</f>
        <v>8672</v>
      </c>
      <c r="J510" s="12" t="s">
        <v>13798</v>
      </c>
      <c r="K510" s="12" t="s">
        <v>13799</v>
      </c>
      <c r="L510" s="13" t="str">
        <f>HYPERLINK("http://asia.ensembl.org/Homo_sapiens/Gene/Summary?g=ENSG00000075151", "ENSG00000075151")</f>
        <v>ENSG00000075151</v>
      </c>
      <c r="M510" s="12" t="s">
        <v>13800</v>
      </c>
      <c r="N510" s="12" t="s">
        <v>13801</v>
      </c>
    </row>
    <row r="511" spans="1:14">
      <c r="A511" s="12" t="s">
        <v>2678</v>
      </c>
      <c r="B511" s="8">
        <v>6857.7058144722096</v>
      </c>
      <c r="C511" s="12">
        <v>2432.5403168055</v>
      </c>
      <c r="D511" s="8">
        <v>1.4952622997360301</v>
      </c>
      <c r="E511" s="12">
        <v>3.3283010644674098E-3</v>
      </c>
      <c r="F511" s="8" t="s">
        <v>2679</v>
      </c>
      <c r="G511" s="12" t="s">
        <v>2680</v>
      </c>
      <c r="H511" s="12">
        <v>1</v>
      </c>
      <c r="I511" s="13" t="str">
        <f>HYPERLINK("http://www.ncbi.nlm.nih.gov/gene/55149", "55149")</f>
        <v>55149</v>
      </c>
      <c r="J511" s="13" t="str">
        <f>HYPERLINK("http://www.ncbi.nlm.nih.gov/nuccore/NM_018109", "NM_018109")</f>
        <v>NM_018109</v>
      </c>
      <c r="K511" s="12" t="s">
        <v>2681</v>
      </c>
      <c r="L511" s="13" t="str">
        <f>HYPERLINK("http://asia.ensembl.org/Homo_sapiens/Gene/Summary?g=ENSG00000107951", "ENSG00000107951")</f>
        <v>ENSG00000107951</v>
      </c>
      <c r="M511" s="12" t="s">
        <v>12743</v>
      </c>
      <c r="N511" s="12" t="s">
        <v>12744</v>
      </c>
    </row>
    <row r="512" spans="1:14">
      <c r="A512" s="12" t="s">
        <v>2682</v>
      </c>
      <c r="B512" s="8">
        <v>1200.7387075066799</v>
      </c>
      <c r="C512" s="12">
        <v>425.97960787702903</v>
      </c>
      <c r="D512" s="8">
        <v>1.4950659668555999</v>
      </c>
      <c r="E512" s="12">
        <v>3.0523577618457301E-3</v>
      </c>
      <c r="F512" s="8" t="s">
        <v>2683</v>
      </c>
      <c r="G512" s="12" t="s">
        <v>12745</v>
      </c>
      <c r="H512" s="12">
        <v>1</v>
      </c>
      <c r="I512" s="13" t="str">
        <f>HYPERLINK("http://www.ncbi.nlm.nih.gov/gene/8669", "8669")</f>
        <v>8669</v>
      </c>
      <c r="J512" s="13" t="str">
        <f>HYPERLINK("http://www.ncbi.nlm.nih.gov/nuccore/NM_003758", "NM_003758")</f>
        <v>NM_003758</v>
      </c>
      <c r="K512" s="12" t="s">
        <v>2684</v>
      </c>
      <c r="L512" s="13" t="str">
        <f>HYPERLINK("http://asia.ensembl.org/Homo_sapiens/Gene/Summary?g=ENSG00000104131", "ENSG00000104131")</f>
        <v>ENSG00000104131</v>
      </c>
      <c r="M512" s="12" t="s">
        <v>12746</v>
      </c>
      <c r="N512" s="12" t="s">
        <v>12747</v>
      </c>
    </row>
    <row r="513" spans="1:14">
      <c r="A513" s="12" t="s">
        <v>3221</v>
      </c>
      <c r="B513" s="8">
        <v>150.388807960451</v>
      </c>
      <c r="C513" s="12">
        <v>53.369489265517601</v>
      </c>
      <c r="D513" s="8">
        <v>1.49461009441838</v>
      </c>
      <c r="E513" s="12">
        <v>1.50441745356776E-3</v>
      </c>
      <c r="F513" s="8" t="s">
        <v>3222</v>
      </c>
      <c r="G513" s="12" t="s">
        <v>3223</v>
      </c>
      <c r="H513" s="12">
        <v>1</v>
      </c>
      <c r="I513" s="13" t="str">
        <f>HYPERLINK("http://www.ncbi.nlm.nih.gov/gene/9493", "9493")</f>
        <v>9493</v>
      </c>
      <c r="J513" s="12" t="s">
        <v>12911</v>
      </c>
      <c r="K513" s="12" t="s">
        <v>12912</v>
      </c>
      <c r="L513" s="13" t="str">
        <f>HYPERLINK("http://asia.ensembl.org/Homo_sapiens/Gene/Summary?g=ENSG00000137807", "ENSG00000137807")</f>
        <v>ENSG00000137807</v>
      </c>
      <c r="M513" s="12" t="s">
        <v>12913</v>
      </c>
      <c r="N513" s="12" t="s">
        <v>12914</v>
      </c>
    </row>
    <row r="514" spans="1:14">
      <c r="A514" s="12" t="s">
        <v>5368</v>
      </c>
      <c r="B514" s="8">
        <v>369.14548579832399</v>
      </c>
      <c r="C514" s="12">
        <v>131.053345986848</v>
      </c>
      <c r="D514" s="8">
        <v>1.4940353279273499</v>
      </c>
      <c r="E514" s="12">
        <v>5.5614443635499603E-4</v>
      </c>
      <c r="F514" s="8" t="s">
        <v>5369</v>
      </c>
      <c r="G514" s="12" t="s">
        <v>5370</v>
      </c>
      <c r="H514" s="12">
        <v>1</v>
      </c>
      <c r="I514" s="13" t="str">
        <f>HYPERLINK("http://www.ncbi.nlm.nih.gov/gene/55975", "55975")</f>
        <v>55975</v>
      </c>
      <c r="J514" s="12" t="s">
        <v>13705</v>
      </c>
      <c r="K514" s="12" t="s">
        <v>13706</v>
      </c>
      <c r="L514" s="13" t="str">
        <f>HYPERLINK("http://asia.ensembl.org/Homo_sapiens/Gene/Summary?g=ENSG00000122550", "ENSG00000122550")</f>
        <v>ENSG00000122550</v>
      </c>
      <c r="M514" s="12" t="s">
        <v>13707</v>
      </c>
      <c r="N514" s="12" t="s">
        <v>13708</v>
      </c>
    </row>
    <row r="515" spans="1:14">
      <c r="A515" s="12" t="s">
        <v>5653</v>
      </c>
      <c r="B515" s="8">
        <v>154.74380538391901</v>
      </c>
      <c r="C515" s="12">
        <v>54.942085504763803</v>
      </c>
      <c r="D515" s="8">
        <v>1.49389807871979</v>
      </c>
      <c r="E515" s="12">
        <v>8.3901918521628992E-3</v>
      </c>
      <c r="F515" s="8" t="s">
        <v>5654</v>
      </c>
      <c r="G515" s="12" t="s">
        <v>5655</v>
      </c>
      <c r="H515" s="12">
        <v>1</v>
      </c>
      <c r="I515" s="13" t="str">
        <f>HYPERLINK("http://www.ncbi.nlm.nih.gov/gene/6004", "6004")</f>
        <v>6004</v>
      </c>
      <c r="J515" s="13" t="str">
        <f>HYPERLINK("http://www.ncbi.nlm.nih.gov/nuccore/NM_002928", "NM_002928")</f>
        <v>NM_002928</v>
      </c>
      <c r="K515" s="12" t="s">
        <v>5656</v>
      </c>
      <c r="L515" s="13" t="str">
        <f>HYPERLINK("http://asia.ensembl.org/Homo_sapiens/Gene/Summary?g=ENSG00000143333", "ENSG00000143333")</f>
        <v>ENSG00000143333</v>
      </c>
      <c r="M515" s="12" t="s">
        <v>5657</v>
      </c>
      <c r="N515" s="12" t="s">
        <v>5658</v>
      </c>
    </row>
    <row r="516" spans="1:14">
      <c r="A516" s="12" t="s">
        <v>8804</v>
      </c>
      <c r="B516" s="8">
        <v>3927.47914051922</v>
      </c>
      <c r="C516" s="12">
        <v>1395.3610013713901</v>
      </c>
      <c r="D516" s="8">
        <v>1.4929651953904099</v>
      </c>
      <c r="E516" s="12">
        <v>2.7228479050037798E-3</v>
      </c>
      <c r="F516" s="8" t="s">
        <v>8805</v>
      </c>
      <c r="G516" s="12" t="s">
        <v>14894</v>
      </c>
      <c r="H516" s="12">
        <v>1</v>
      </c>
      <c r="I516" s="13" t="str">
        <f>HYPERLINK("http://www.ncbi.nlm.nih.gov/gene/10492", "10492")</f>
        <v>10492</v>
      </c>
      <c r="J516" s="12" t="s">
        <v>14895</v>
      </c>
      <c r="K516" s="12" t="s">
        <v>14896</v>
      </c>
      <c r="L516" s="13" t="str">
        <f>HYPERLINK("http://asia.ensembl.org/Homo_sapiens/Gene/Summary?g=ENSG00000135316", "ENSG00000135316")</f>
        <v>ENSG00000135316</v>
      </c>
      <c r="M516" s="12" t="s">
        <v>14897</v>
      </c>
      <c r="N516" s="12" t="s">
        <v>14898</v>
      </c>
    </row>
    <row r="517" spans="1:14">
      <c r="A517" s="12" t="s">
        <v>4722</v>
      </c>
      <c r="B517" s="8">
        <v>18575.917694477801</v>
      </c>
      <c r="C517" s="12">
        <v>6601.0492737349596</v>
      </c>
      <c r="D517" s="8">
        <v>1.4926662128230099</v>
      </c>
      <c r="E517" s="12">
        <v>3.3804568782057399E-3</v>
      </c>
      <c r="F517" s="8" t="s">
        <v>4723</v>
      </c>
      <c r="G517" s="12" t="s">
        <v>4724</v>
      </c>
      <c r="H517" s="12">
        <v>1</v>
      </c>
      <c r="I517" s="13" t="str">
        <f>HYPERLINK("http://www.ncbi.nlm.nih.gov/gene/7514", "7514")</f>
        <v>7514</v>
      </c>
      <c r="J517" s="13" t="str">
        <f>HYPERLINK("http://www.ncbi.nlm.nih.gov/nuccore/NM_003400", "NM_003400")</f>
        <v>NM_003400</v>
      </c>
      <c r="K517" s="12" t="s">
        <v>4725</v>
      </c>
      <c r="L517" s="13" t="str">
        <f>HYPERLINK("http://asia.ensembl.org/Homo_sapiens/Gene/Summary?g=ENSG00000082898", "ENSG00000082898")</f>
        <v>ENSG00000082898</v>
      </c>
      <c r="M517" s="12" t="s">
        <v>13361</v>
      </c>
      <c r="N517" s="12" t="s">
        <v>13362</v>
      </c>
    </row>
    <row r="518" spans="1:14">
      <c r="A518" s="12" t="s">
        <v>1743</v>
      </c>
      <c r="B518" s="8">
        <v>367.201291449145</v>
      </c>
      <c r="C518" s="12">
        <v>130.583165501129</v>
      </c>
      <c r="D518" s="8">
        <v>1.49160221297577</v>
      </c>
      <c r="E518" s="12">
        <v>6.5192112313975596E-4</v>
      </c>
      <c r="F518" s="8" t="s">
        <v>1744</v>
      </c>
      <c r="G518" s="12" t="s">
        <v>1745</v>
      </c>
      <c r="H518" s="12">
        <v>1</v>
      </c>
      <c r="I518" s="13" t="str">
        <f>HYPERLINK("http://www.ncbi.nlm.nih.gov/gene/145474", "145474")</f>
        <v>145474</v>
      </c>
      <c r="J518" s="13" t="str">
        <f>HYPERLINK("http://www.ncbi.nlm.nih.gov/nuccore/NR_027046", "NR_027046")</f>
        <v>NR_027046</v>
      </c>
      <c r="K518" s="12" t="s">
        <v>199</v>
      </c>
      <c r="L518" s="12" t="s">
        <v>38</v>
      </c>
      <c r="M518" s="12" t="s">
        <v>38</v>
      </c>
      <c r="N518" s="12" t="s">
        <v>38</v>
      </c>
    </row>
    <row r="519" spans="1:14">
      <c r="A519" s="12" t="s">
        <v>11154</v>
      </c>
      <c r="B519" s="8">
        <v>467.39889090096301</v>
      </c>
      <c r="C519" s="12">
        <v>166.27311573620599</v>
      </c>
      <c r="D519" s="8">
        <v>1.4910993888228301</v>
      </c>
      <c r="E519" s="12">
        <v>4.9949527065137299E-3</v>
      </c>
      <c r="F519" s="8" t="s">
        <v>7051</v>
      </c>
      <c r="G519" s="12" t="s">
        <v>7052</v>
      </c>
      <c r="H519" s="12">
        <v>1</v>
      </c>
      <c r="I519" s="13" t="str">
        <f>HYPERLINK("http://www.ncbi.nlm.nih.gov/gene/22806", "22806")</f>
        <v>22806</v>
      </c>
      <c r="J519" s="12" t="s">
        <v>15997</v>
      </c>
      <c r="K519" s="12" t="s">
        <v>15998</v>
      </c>
      <c r="L519" s="13" t="str">
        <f>HYPERLINK("http://asia.ensembl.org/Homo_sapiens/Gene/Summary?g=ENSG00000161405", "ENSG00000161405")</f>
        <v>ENSG00000161405</v>
      </c>
      <c r="M519" s="12" t="s">
        <v>15999</v>
      </c>
      <c r="N519" s="12" t="s">
        <v>16000</v>
      </c>
    </row>
    <row r="520" spans="1:14">
      <c r="A520" s="12" t="s">
        <v>10325</v>
      </c>
      <c r="B520" s="8">
        <v>3690.5178732833701</v>
      </c>
      <c r="C520" s="12">
        <v>1314.5185709257501</v>
      </c>
      <c r="D520" s="8">
        <v>1.4892887533604999</v>
      </c>
      <c r="E520" s="12">
        <v>1.03445479616356E-3</v>
      </c>
      <c r="F520" s="8" t="s">
        <v>7774</v>
      </c>
      <c r="G520" s="12" t="s">
        <v>7775</v>
      </c>
      <c r="H520" s="12">
        <v>1</v>
      </c>
      <c r="I520" s="13" t="str">
        <f>HYPERLINK("http://www.ncbi.nlm.nih.gov/gene/55206", "55206")</f>
        <v>55206</v>
      </c>
      <c r="J520" s="12" t="s">
        <v>14541</v>
      </c>
      <c r="K520" s="12" t="s">
        <v>14542</v>
      </c>
      <c r="L520" s="13" t="str">
        <f>HYPERLINK("http://asia.ensembl.org/Homo_sapiens/Gene/Summary?g=ENSG00000139697", "ENSG00000139697")</f>
        <v>ENSG00000139697</v>
      </c>
      <c r="M520" s="12" t="s">
        <v>14543</v>
      </c>
      <c r="N520" s="12" t="s">
        <v>14544</v>
      </c>
    </row>
    <row r="521" spans="1:14">
      <c r="A521" s="12" t="s">
        <v>1190</v>
      </c>
      <c r="B521" s="8">
        <v>1062.5182715984899</v>
      </c>
      <c r="C521" s="12">
        <v>378.74027851943299</v>
      </c>
      <c r="D521" s="8">
        <v>1.4882068876010199</v>
      </c>
      <c r="E521" s="12">
        <v>4.3775213826897702E-3</v>
      </c>
      <c r="F521" s="8" t="s">
        <v>1191</v>
      </c>
      <c r="G521" s="12" t="s">
        <v>1192</v>
      </c>
      <c r="H521" s="12">
        <v>1</v>
      </c>
      <c r="I521" s="13" t="str">
        <f>HYPERLINK("http://www.ncbi.nlm.nih.gov/gene/84181", "84181")</f>
        <v>84181</v>
      </c>
      <c r="J521" s="13" t="str">
        <f>HYPERLINK("http://www.ncbi.nlm.nih.gov/nuccore/NM_032221", "NM_032221")</f>
        <v>NM_032221</v>
      </c>
      <c r="K521" s="12" t="s">
        <v>1193</v>
      </c>
      <c r="L521" s="13" t="str">
        <f>HYPERLINK("http://asia.ensembl.org/Homo_sapiens/Gene/Summary?g=ENSG00000124177", "ENSG00000124177")</f>
        <v>ENSG00000124177</v>
      </c>
      <c r="M521" s="12" t="s">
        <v>12259</v>
      </c>
      <c r="N521" s="12" t="s">
        <v>12260</v>
      </c>
    </row>
    <row r="522" spans="1:14">
      <c r="A522" s="12" t="s">
        <v>3355</v>
      </c>
      <c r="B522" s="8">
        <v>373.54896738945399</v>
      </c>
      <c r="C522" s="12">
        <v>133.2285424017</v>
      </c>
      <c r="D522" s="8">
        <v>1.4873941805868001</v>
      </c>
      <c r="E522" s="12">
        <v>7.7080614867889603E-3</v>
      </c>
      <c r="F522" s="8" t="s">
        <v>3356</v>
      </c>
      <c r="G522" s="12" t="s">
        <v>3357</v>
      </c>
      <c r="H522" s="12">
        <v>1</v>
      </c>
      <c r="I522" s="13" t="str">
        <f>HYPERLINK("http://www.ncbi.nlm.nih.gov/gene/140578", "140578")</f>
        <v>140578</v>
      </c>
      <c r="J522" s="12" t="s">
        <v>12952</v>
      </c>
      <c r="K522" s="12" t="s">
        <v>12953</v>
      </c>
      <c r="L522" s="13" t="str">
        <f>HYPERLINK("http://asia.ensembl.org/Homo_sapiens/Gene/Summary?g=ENSG00000154645", "ENSG00000154645")</f>
        <v>ENSG00000154645</v>
      </c>
      <c r="M522" s="12" t="s">
        <v>12954</v>
      </c>
      <c r="N522" s="12" t="s">
        <v>12955</v>
      </c>
    </row>
    <row r="523" spans="1:14">
      <c r="A523" s="12" t="s">
        <v>11160</v>
      </c>
      <c r="B523" s="8">
        <v>336.422094343705</v>
      </c>
      <c r="C523" s="12">
        <v>120.01484220157801</v>
      </c>
      <c r="D523" s="8">
        <v>1.4870596223861301</v>
      </c>
      <c r="E523" s="12">
        <v>3.52196681614268E-4</v>
      </c>
      <c r="F523" s="8" t="s">
        <v>10668</v>
      </c>
      <c r="G523" s="12" t="s">
        <v>10669</v>
      </c>
      <c r="H523" s="12">
        <v>1</v>
      </c>
      <c r="I523" s="13" t="str">
        <f>HYPERLINK("http://www.ncbi.nlm.nih.gov/gene/56605", "56605")</f>
        <v>56605</v>
      </c>
      <c r="J523" s="13" t="str">
        <f>HYPERLINK("http://www.ncbi.nlm.nih.gov/nuccore/NM_019891", "NM_019891")</f>
        <v>NM_019891</v>
      </c>
      <c r="K523" s="12" t="s">
        <v>10670</v>
      </c>
      <c r="L523" s="13" t="str">
        <f>HYPERLINK("http://asia.ensembl.org/Homo_sapiens/Gene/Summary?g=ENSG00000086619", "ENSG00000086619")</f>
        <v>ENSG00000086619</v>
      </c>
      <c r="M523" s="12" t="s">
        <v>16002</v>
      </c>
      <c r="N523" s="12" t="s">
        <v>16003</v>
      </c>
    </row>
    <row r="524" spans="1:14">
      <c r="A524" s="12" t="s">
        <v>1104</v>
      </c>
      <c r="B524" s="8">
        <v>512.88216365861501</v>
      </c>
      <c r="C524" s="12">
        <v>182.99311083936999</v>
      </c>
      <c r="D524" s="8">
        <v>1.48683806379504</v>
      </c>
      <c r="E524" s="12">
        <v>1.91629354703642E-3</v>
      </c>
      <c r="F524" s="8" t="s">
        <v>1105</v>
      </c>
      <c r="G524" s="12" t="s">
        <v>1106</v>
      </c>
      <c r="H524" s="12">
        <v>1</v>
      </c>
      <c r="I524" s="13" t="str">
        <f>HYPERLINK("http://www.ncbi.nlm.nih.gov/gene/58155", "58155")</f>
        <v>58155</v>
      </c>
      <c r="J524" s="13" t="str">
        <f>HYPERLINK("http://www.ncbi.nlm.nih.gov/nuccore/NM_021190", "NM_021190")</f>
        <v>NM_021190</v>
      </c>
      <c r="K524" s="12" t="s">
        <v>1107</v>
      </c>
      <c r="L524" s="13" t="str">
        <f>HYPERLINK("http://asia.ensembl.org/Homo_sapiens/Gene/Summary?g=ENSG00000117569", "ENSG00000117569")</f>
        <v>ENSG00000117569</v>
      </c>
      <c r="M524" s="12" t="s">
        <v>12226</v>
      </c>
      <c r="N524" s="12" t="s">
        <v>12227</v>
      </c>
    </row>
    <row r="525" spans="1:14">
      <c r="A525" s="12" t="s">
        <v>3916</v>
      </c>
      <c r="B525" s="8">
        <v>2411.3952770238702</v>
      </c>
      <c r="C525" s="12">
        <v>860.49255201680501</v>
      </c>
      <c r="D525" s="8">
        <v>1.48663354735819</v>
      </c>
      <c r="E525" s="12">
        <v>3.65150195991812E-3</v>
      </c>
      <c r="F525" s="8" t="s">
        <v>3917</v>
      </c>
      <c r="G525" s="12" t="s">
        <v>13120</v>
      </c>
      <c r="H525" s="12">
        <v>4</v>
      </c>
      <c r="I525" s="12" t="s">
        <v>3918</v>
      </c>
      <c r="J525" s="12" t="s">
        <v>3919</v>
      </c>
      <c r="K525" s="12" t="s">
        <v>3920</v>
      </c>
      <c r="L525" s="12" t="s">
        <v>3921</v>
      </c>
      <c r="M525" s="12" t="s">
        <v>13121</v>
      </c>
      <c r="N525" s="12" t="s">
        <v>13122</v>
      </c>
    </row>
    <row r="526" spans="1:14">
      <c r="A526" s="12" t="s">
        <v>9638</v>
      </c>
      <c r="B526" s="8">
        <v>999.65853539697298</v>
      </c>
      <c r="C526" s="12">
        <v>356.79715901003902</v>
      </c>
      <c r="D526" s="8">
        <v>1.48633125359637</v>
      </c>
      <c r="E526" s="12">
        <v>1.72917088823927E-3</v>
      </c>
      <c r="F526" s="8" t="s">
        <v>9639</v>
      </c>
      <c r="G526" s="12" t="s">
        <v>2520</v>
      </c>
      <c r="H526" s="12">
        <v>1</v>
      </c>
      <c r="I526" s="13" t="str">
        <f>HYPERLINK("http://www.ncbi.nlm.nih.gov/gene/81502", "81502")</f>
        <v>81502</v>
      </c>
      <c r="J526" s="13" t="str">
        <f>HYPERLINK("http://www.ncbi.nlm.nih.gov/nuccore/NM_178582", "NM_178582")</f>
        <v>NM_178582</v>
      </c>
      <c r="K526" s="12" t="s">
        <v>9640</v>
      </c>
      <c r="L526" s="13" t="str">
        <f>HYPERLINK("http://asia.ensembl.org/Homo_sapiens/Gene/Summary?g=ENSG00000101294", "ENSG00000101294")</f>
        <v>ENSG00000101294</v>
      </c>
      <c r="M526" s="12" t="s">
        <v>15131</v>
      </c>
      <c r="N526" s="12" t="s">
        <v>15132</v>
      </c>
    </row>
    <row r="527" spans="1:14">
      <c r="A527" s="12" t="s">
        <v>2241</v>
      </c>
      <c r="B527" s="8">
        <v>797.73603256355204</v>
      </c>
      <c r="C527" s="12">
        <v>284.73237815949</v>
      </c>
      <c r="D527" s="8">
        <v>1.4863048862535599</v>
      </c>
      <c r="E527" s="12">
        <v>2.2330346767351099E-3</v>
      </c>
      <c r="F527" s="8" t="s">
        <v>2242</v>
      </c>
      <c r="G527" s="12" t="s">
        <v>2243</v>
      </c>
      <c r="H527" s="12">
        <v>1</v>
      </c>
      <c r="I527" s="13" t="str">
        <f>HYPERLINK("http://www.ncbi.nlm.nih.gov/gene/330", "330")</f>
        <v>330</v>
      </c>
      <c r="J527" s="12" t="s">
        <v>12578</v>
      </c>
      <c r="K527" s="12" t="s">
        <v>12579</v>
      </c>
      <c r="L527" s="13" t="str">
        <f>HYPERLINK("http://asia.ensembl.org/Homo_sapiens/Gene/Summary?g=ENSG00000023445", "ENSG00000023445")</f>
        <v>ENSG00000023445</v>
      </c>
      <c r="M527" s="12" t="s">
        <v>12580</v>
      </c>
      <c r="N527" s="12" t="s">
        <v>12581</v>
      </c>
    </row>
    <row r="528" spans="1:14">
      <c r="A528" s="12" t="s">
        <v>5239</v>
      </c>
      <c r="B528" s="8">
        <v>4373.1107376740101</v>
      </c>
      <c r="C528" s="12">
        <v>1561.7683331748101</v>
      </c>
      <c r="D528" s="8">
        <v>1.48547941597886</v>
      </c>
      <c r="E528" s="12">
        <v>9.1617332862246395E-3</v>
      </c>
      <c r="F528" s="8" t="s">
        <v>5240</v>
      </c>
      <c r="G528" s="12" t="s">
        <v>5241</v>
      </c>
      <c r="H528" s="12">
        <v>1</v>
      </c>
      <c r="I528" s="13" t="str">
        <f>HYPERLINK("http://www.ncbi.nlm.nih.gov/gene/57532", "57532")</f>
        <v>57532</v>
      </c>
      <c r="J528" s="13" t="str">
        <f>HYPERLINK("http://www.ncbi.nlm.nih.gov/nuccore/NM_020772", "NM_020772")</f>
        <v>NM_020772</v>
      </c>
      <c r="K528" s="12" t="s">
        <v>5242</v>
      </c>
      <c r="L528" s="13" t="str">
        <f>HYPERLINK("http://asia.ensembl.org/Homo_sapiens/Gene/Summary?g=ENSG00000108256", "ENSG00000108256")</f>
        <v>ENSG00000108256</v>
      </c>
      <c r="M528" s="12" t="s">
        <v>13637</v>
      </c>
      <c r="N528" s="12" t="s">
        <v>13638</v>
      </c>
    </row>
    <row r="529" spans="1:14">
      <c r="A529" s="12" t="s">
        <v>4604</v>
      </c>
      <c r="B529" s="8">
        <v>1135.44288095106</v>
      </c>
      <c r="C529" s="12">
        <v>405.59925295738202</v>
      </c>
      <c r="D529" s="8">
        <v>1.4851282320750701</v>
      </c>
      <c r="E529" s="12">
        <v>7.2398777655672403E-3</v>
      </c>
      <c r="F529" s="8" t="s">
        <v>4605</v>
      </c>
      <c r="G529" s="12" t="s">
        <v>4606</v>
      </c>
      <c r="H529" s="12">
        <v>1</v>
      </c>
      <c r="I529" s="13" t="str">
        <f>HYPERLINK("http://www.ncbi.nlm.nih.gov/gene/23369", "23369")</f>
        <v>23369</v>
      </c>
      <c r="J529" s="13" t="str">
        <f>HYPERLINK("http://www.ncbi.nlm.nih.gov/nuccore/NM_015317", "NM_015317")</f>
        <v>NM_015317</v>
      </c>
      <c r="K529" s="12" t="s">
        <v>4607</v>
      </c>
      <c r="L529" s="13" t="str">
        <f>HYPERLINK("http://asia.ensembl.org/Homo_sapiens/Gene/Summary?g=ENSG00000055917", "ENSG00000055917")</f>
        <v>ENSG00000055917</v>
      </c>
      <c r="M529" s="12" t="s">
        <v>13311</v>
      </c>
      <c r="N529" s="12" t="s">
        <v>13312</v>
      </c>
    </row>
    <row r="530" spans="1:14">
      <c r="A530" s="12" t="s">
        <v>4862</v>
      </c>
      <c r="B530" s="8">
        <v>2280.83130512654</v>
      </c>
      <c r="C530" s="12">
        <v>814.92572576531097</v>
      </c>
      <c r="D530" s="8">
        <v>1.4848192661159401</v>
      </c>
      <c r="E530" s="12">
        <v>1.9993613327912601E-3</v>
      </c>
      <c r="F530" s="8" t="s">
        <v>4863</v>
      </c>
      <c r="G530" s="12" t="s">
        <v>4864</v>
      </c>
      <c r="H530" s="12">
        <v>1</v>
      </c>
      <c r="I530" s="13" t="str">
        <f>HYPERLINK("http://www.ncbi.nlm.nih.gov/gene/201895", "201895")</f>
        <v>201895</v>
      </c>
      <c r="J530" s="13" t="str">
        <f>HYPERLINK("http://www.ncbi.nlm.nih.gov/nuccore/NM_174921", "NM_174921")</f>
        <v>NM_174921</v>
      </c>
      <c r="K530" s="12" t="s">
        <v>4865</v>
      </c>
      <c r="L530" s="13" t="str">
        <f>HYPERLINK("http://asia.ensembl.org/Homo_sapiens/Gene/Summary?g=ENSG00000163683", "ENSG00000163683")</f>
        <v>ENSG00000163683</v>
      </c>
      <c r="M530" s="12" t="s">
        <v>13437</v>
      </c>
      <c r="N530" s="12" t="s">
        <v>13438</v>
      </c>
    </row>
    <row r="531" spans="1:14">
      <c r="A531" s="12" t="s">
        <v>1557</v>
      </c>
      <c r="B531" s="8">
        <v>1664.2503607123399</v>
      </c>
      <c r="C531" s="12">
        <v>594.79087853439898</v>
      </c>
      <c r="D531" s="8">
        <v>1.48441805284686</v>
      </c>
      <c r="E531" s="12">
        <v>3.7196056141380802E-3</v>
      </c>
      <c r="F531" s="8" t="s">
        <v>1558</v>
      </c>
      <c r="G531" s="12" t="s">
        <v>12352</v>
      </c>
      <c r="H531" s="12">
        <v>1</v>
      </c>
      <c r="I531" s="13" t="str">
        <f>HYPERLINK("http://www.ncbi.nlm.nih.gov/gene/5825", "5825")</f>
        <v>5825</v>
      </c>
      <c r="J531" s="13" t="str">
        <f>HYPERLINK("http://www.ncbi.nlm.nih.gov/nuccore/NM_002858", "NM_002858")</f>
        <v>NM_002858</v>
      </c>
      <c r="K531" s="12" t="s">
        <v>1559</v>
      </c>
      <c r="L531" s="13" t="str">
        <f>HYPERLINK("http://asia.ensembl.org/Homo_sapiens/Gene/Summary?g=ENSG00000117528", "ENSG00000117528")</f>
        <v>ENSG00000117528</v>
      </c>
      <c r="M531" s="12" t="s">
        <v>12353</v>
      </c>
      <c r="N531" s="12" t="s">
        <v>12354</v>
      </c>
    </row>
    <row r="532" spans="1:14">
      <c r="A532" s="12" t="s">
        <v>3408</v>
      </c>
      <c r="B532" s="8">
        <v>14318.7026817517</v>
      </c>
      <c r="C532" s="12">
        <v>5117.4524931107599</v>
      </c>
      <c r="D532" s="8">
        <v>1.48440307650032</v>
      </c>
      <c r="E532" s="12">
        <v>2.4249692630171501E-3</v>
      </c>
      <c r="F532" s="8" t="s">
        <v>3409</v>
      </c>
      <c r="G532" s="12" t="s">
        <v>12964</v>
      </c>
      <c r="H532" s="12">
        <v>1</v>
      </c>
      <c r="I532" s="13" t="str">
        <f>HYPERLINK("http://www.ncbi.nlm.nih.gov/gene/3597", "3597")</f>
        <v>3597</v>
      </c>
      <c r="J532" s="13" t="str">
        <f>HYPERLINK("http://www.ncbi.nlm.nih.gov/nuccore/NM_001560", "NM_001560")</f>
        <v>NM_001560</v>
      </c>
      <c r="K532" s="12" t="s">
        <v>3410</v>
      </c>
      <c r="L532" s="13" t="str">
        <f>HYPERLINK("http://asia.ensembl.org/Homo_sapiens/Gene/Summary?g=ENSG00000131724", "ENSG00000131724")</f>
        <v>ENSG00000131724</v>
      </c>
      <c r="M532" s="12" t="s">
        <v>12965</v>
      </c>
      <c r="N532" s="12" t="s">
        <v>12966</v>
      </c>
    </row>
    <row r="533" spans="1:14">
      <c r="A533" s="12" t="s">
        <v>10288</v>
      </c>
      <c r="B533" s="8">
        <v>309.19494910795299</v>
      </c>
      <c r="C533" s="12">
        <v>110.5495563856</v>
      </c>
      <c r="D533" s="8">
        <v>1.48382351622909</v>
      </c>
      <c r="E533" s="12">
        <v>4.4755578806377301E-3</v>
      </c>
      <c r="F533" s="8" t="s">
        <v>5000</v>
      </c>
      <c r="G533" s="12" t="s">
        <v>5001</v>
      </c>
      <c r="H533" s="12">
        <v>1</v>
      </c>
      <c r="I533" s="13" t="str">
        <f>HYPERLINK("http://www.ncbi.nlm.nih.gov/gene/9209", "9209")</f>
        <v>9209</v>
      </c>
      <c r="J533" s="12" t="s">
        <v>15365</v>
      </c>
      <c r="K533" s="12" t="s">
        <v>15366</v>
      </c>
      <c r="L533" s="13" t="str">
        <f>HYPERLINK("http://asia.ensembl.org/Homo_sapiens/Gene/Summary?g=ENSG00000093167", "ENSG00000093167")</f>
        <v>ENSG00000093167</v>
      </c>
      <c r="M533" s="12" t="s">
        <v>15367</v>
      </c>
      <c r="N533" s="12" t="s">
        <v>15368</v>
      </c>
    </row>
    <row r="534" spans="1:14">
      <c r="A534" s="12" t="s">
        <v>3848</v>
      </c>
      <c r="B534" s="8">
        <v>3320.4540748801501</v>
      </c>
      <c r="C534" s="12">
        <v>1188.4237806239901</v>
      </c>
      <c r="D534" s="8">
        <v>1.4823311655970399</v>
      </c>
      <c r="E534" s="12">
        <v>6.4200918777912296E-3</v>
      </c>
      <c r="F534" s="8" t="s">
        <v>3849</v>
      </c>
      <c r="G534" s="12" t="s">
        <v>3850</v>
      </c>
      <c r="H534" s="12">
        <v>1</v>
      </c>
      <c r="I534" s="13" t="str">
        <f>HYPERLINK("http://www.ncbi.nlm.nih.gov/gene/400", "400")</f>
        <v>400</v>
      </c>
      <c r="J534" s="13" t="str">
        <f>HYPERLINK("http://www.ncbi.nlm.nih.gov/nuccore/NM_001177", "NM_001177")</f>
        <v>NM_001177</v>
      </c>
      <c r="K534" s="12" t="s">
        <v>3851</v>
      </c>
      <c r="L534" s="13" t="str">
        <f>HYPERLINK("http://asia.ensembl.org/Homo_sapiens/Gene/Summary?g=ENSG00000120805", "ENSG00000120805")</f>
        <v>ENSG00000120805</v>
      </c>
      <c r="M534" s="12" t="s">
        <v>13106</v>
      </c>
      <c r="N534" s="12" t="s">
        <v>13107</v>
      </c>
    </row>
    <row r="535" spans="1:14">
      <c r="A535" s="12" t="s">
        <v>646</v>
      </c>
      <c r="B535" s="8">
        <v>2443.1227313007798</v>
      </c>
      <c r="C535" s="12">
        <v>875.79078997284603</v>
      </c>
      <c r="D535" s="8">
        <v>1.4800681565654501</v>
      </c>
      <c r="E535" s="12">
        <v>2.1174795922259001E-3</v>
      </c>
      <c r="F535" s="8" t="s">
        <v>647</v>
      </c>
      <c r="G535" s="12" t="s">
        <v>648</v>
      </c>
      <c r="H535" s="12">
        <v>1</v>
      </c>
      <c r="I535" s="13" t="str">
        <f>HYPERLINK("http://www.ncbi.nlm.nih.gov/gene/55165", "55165")</f>
        <v>55165</v>
      </c>
      <c r="J535" s="12" t="s">
        <v>12056</v>
      </c>
      <c r="K535" s="12" t="s">
        <v>12057</v>
      </c>
      <c r="L535" s="13" t="str">
        <f>HYPERLINK("http://asia.ensembl.org/Homo_sapiens/Gene/Summary?g=ENSG00000138180", "ENSG00000138180")</f>
        <v>ENSG00000138180</v>
      </c>
      <c r="M535" s="12" t="s">
        <v>12058</v>
      </c>
      <c r="N535" s="12" t="s">
        <v>12059</v>
      </c>
    </row>
    <row r="536" spans="1:14">
      <c r="A536" s="12" t="s">
        <v>9553</v>
      </c>
      <c r="B536" s="8">
        <v>6006.34609802865</v>
      </c>
      <c r="C536" s="12">
        <v>2156.4572467285998</v>
      </c>
      <c r="D536" s="8">
        <v>1.4778244944299701</v>
      </c>
      <c r="E536" s="12">
        <v>4.2938016068414799E-4</v>
      </c>
      <c r="F536" s="8" t="s">
        <v>9554</v>
      </c>
      <c r="G536" s="12" t="s">
        <v>9555</v>
      </c>
      <c r="H536" s="12">
        <v>1</v>
      </c>
      <c r="I536" s="13" t="str">
        <f>HYPERLINK("http://www.ncbi.nlm.nih.gov/gene/55677", "55677")</f>
        <v>55677</v>
      </c>
      <c r="J536" s="13" t="str">
        <f>HYPERLINK("http://www.ncbi.nlm.nih.gov/nuccore/NM_017969", "NM_017969")</f>
        <v>NM_017969</v>
      </c>
      <c r="K536" s="12" t="s">
        <v>9556</v>
      </c>
      <c r="L536" s="13" t="str">
        <f>HYPERLINK("http://asia.ensembl.org/Homo_sapiens/Gene/Summary?g=ENSG00000163166", "ENSG00000163166")</f>
        <v>ENSG00000163166</v>
      </c>
      <c r="M536" s="12" t="s">
        <v>15077</v>
      </c>
      <c r="N536" s="12" t="s">
        <v>15078</v>
      </c>
    </row>
    <row r="537" spans="1:14">
      <c r="A537" s="12" t="s">
        <v>579</v>
      </c>
      <c r="B537" s="8">
        <v>1827.7597544036801</v>
      </c>
      <c r="C537" s="12">
        <v>656.37595373875297</v>
      </c>
      <c r="D537" s="8">
        <v>1.4774821592326199</v>
      </c>
      <c r="E537" s="12">
        <v>3.0070852839368801E-3</v>
      </c>
      <c r="F537" s="8" t="s">
        <v>580</v>
      </c>
      <c r="G537" s="12" t="s">
        <v>12030</v>
      </c>
      <c r="H537" s="12">
        <v>1</v>
      </c>
      <c r="I537" s="13" t="str">
        <f>HYPERLINK("http://www.ncbi.nlm.nih.gov/gene/6059", "6059")</f>
        <v>6059</v>
      </c>
      <c r="J537" s="12" t="s">
        <v>12031</v>
      </c>
      <c r="K537" s="12" t="s">
        <v>12032</v>
      </c>
      <c r="L537" s="13" t="str">
        <f>HYPERLINK("http://asia.ensembl.org/Homo_sapiens/Gene/Summary?g=ENSG00000164163", "ENSG00000164163")</f>
        <v>ENSG00000164163</v>
      </c>
      <c r="M537" s="12" t="s">
        <v>12033</v>
      </c>
      <c r="N537" s="12" t="s">
        <v>12034</v>
      </c>
    </row>
    <row r="538" spans="1:14">
      <c r="A538" s="12" t="s">
        <v>10498</v>
      </c>
      <c r="B538" s="8">
        <v>801.29838986469201</v>
      </c>
      <c r="C538" s="12">
        <v>287.90105732289902</v>
      </c>
      <c r="D538" s="8">
        <v>1.4767664904942801</v>
      </c>
      <c r="E538" s="12">
        <v>3.6436639103762399E-5</v>
      </c>
      <c r="F538" s="8" t="s">
        <v>1518</v>
      </c>
      <c r="G538" s="12" t="s">
        <v>1519</v>
      </c>
      <c r="H538" s="12">
        <v>1</v>
      </c>
      <c r="I538" s="13" t="str">
        <f>HYPERLINK("http://www.ncbi.nlm.nih.gov/gene/9097", "9097")</f>
        <v>9097</v>
      </c>
      <c r="J538" s="12" t="s">
        <v>15480</v>
      </c>
      <c r="K538" s="12" t="s">
        <v>15481</v>
      </c>
      <c r="L538" s="13" t="str">
        <f>HYPERLINK("http://asia.ensembl.org/Homo_sapiens/Gene/Summary?g=ENSG00000101557", "ENSG00000101557")</f>
        <v>ENSG00000101557</v>
      </c>
      <c r="M538" s="12" t="s">
        <v>15482</v>
      </c>
      <c r="N538" s="12" t="s">
        <v>15483</v>
      </c>
    </row>
    <row r="539" spans="1:14">
      <c r="A539" s="12" t="s">
        <v>7773</v>
      </c>
      <c r="B539" s="8">
        <v>460.96063791744098</v>
      </c>
      <c r="C539" s="12">
        <v>165.79936667423399</v>
      </c>
      <c r="D539" s="8">
        <v>1.47520506614758</v>
      </c>
      <c r="E539" s="12">
        <v>1.32132887458124E-2</v>
      </c>
      <c r="F539" s="8" t="s">
        <v>7774</v>
      </c>
      <c r="G539" s="12" t="s">
        <v>7775</v>
      </c>
      <c r="H539" s="12">
        <v>1</v>
      </c>
      <c r="I539" s="13" t="str">
        <f>HYPERLINK("http://www.ncbi.nlm.nih.gov/gene/55206", "55206")</f>
        <v>55206</v>
      </c>
      <c r="J539" s="12" t="s">
        <v>14541</v>
      </c>
      <c r="K539" s="12" t="s">
        <v>14542</v>
      </c>
      <c r="L539" s="13" t="str">
        <f>HYPERLINK("http://asia.ensembl.org/Homo_sapiens/Gene/Summary?g=ENSG00000139697", "ENSG00000139697")</f>
        <v>ENSG00000139697</v>
      </c>
      <c r="M539" s="12" t="s">
        <v>14543</v>
      </c>
      <c r="N539" s="12" t="s">
        <v>14544</v>
      </c>
    </row>
    <row r="540" spans="1:14">
      <c r="A540" s="12" t="s">
        <v>70</v>
      </c>
      <c r="B540" s="8">
        <v>5132.5243437869003</v>
      </c>
      <c r="C540" s="12">
        <v>1846.31101943362</v>
      </c>
      <c r="D540" s="8">
        <v>1.47502296316169</v>
      </c>
      <c r="E540" s="12">
        <v>1.01620819376191E-2</v>
      </c>
      <c r="F540" s="8" t="s">
        <v>71</v>
      </c>
      <c r="G540" s="12" t="s">
        <v>72</v>
      </c>
      <c r="H540" s="12">
        <v>1</v>
      </c>
      <c r="I540" s="13" t="str">
        <f>HYPERLINK("http://www.ncbi.nlm.nih.gov/gene/1178", "1178")</f>
        <v>1178</v>
      </c>
      <c r="J540" s="13" t="str">
        <f>HYPERLINK("http://www.ncbi.nlm.nih.gov/nuccore/NM_001828", "NM_001828")</f>
        <v>NM_001828</v>
      </c>
      <c r="K540" s="12" t="s">
        <v>73</v>
      </c>
      <c r="L540" s="13" t="str">
        <f>HYPERLINK("http://asia.ensembl.org/Homo_sapiens/Gene/Summary?g=ENSG00000105205", "ENSG00000105205")</f>
        <v>ENSG00000105205</v>
      </c>
      <c r="M540" s="12" t="s">
        <v>74</v>
      </c>
      <c r="N540" s="12" t="s">
        <v>75</v>
      </c>
    </row>
    <row r="541" spans="1:14">
      <c r="A541" s="12" t="s">
        <v>9235</v>
      </c>
      <c r="B541" s="8">
        <v>3140.8511805834301</v>
      </c>
      <c r="C541" s="12">
        <v>1130.1687752534499</v>
      </c>
      <c r="D541" s="8">
        <v>1.4746173515068299</v>
      </c>
      <c r="E541" s="12">
        <v>9.9811940390798107E-4</v>
      </c>
      <c r="F541" s="8" t="s">
        <v>9236</v>
      </c>
      <c r="G541" s="12" t="s">
        <v>15019</v>
      </c>
      <c r="H541" s="12">
        <v>1</v>
      </c>
      <c r="I541" s="13" t="str">
        <f>HYPERLINK("http://www.ncbi.nlm.nih.gov/gene/125962", "125962")</f>
        <v>125962</v>
      </c>
      <c r="J541" s="13" t="str">
        <f>HYPERLINK("http://www.ncbi.nlm.nih.gov/nuccore/NM_001005192", "NM_001005192")</f>
        <v>NM_001005192</v>
      </c>
      <c r="K541" s="12" t="s">
        <v>9237</v>
      </c>
      <c r="L541" s="13" t="str">
        <f>HYPERLINK("http://asia.ensembl.org/Homo_sapiens/Gene/Summary?g=ENSG00000161807", "ENSG00000161807")</f>
        <v>ENSG00000161807</v>
      </c>
      <c r="M541" s="12" t="s">
        <v>9238</v>
      </c>
      <c r="N541" s="12" t="s">
        <v>9239</v>
      </c>
    </row>
    <row r="542" spans="1:14">
      <c r="A542" s="12" t="s">
        <v>5249</v>
      </c>
      <c r="B542" s="8">
        <v>194.61363661160399</v>
      </c>
      <c r="C542" s="12">
        <v>70.096777266596206</v>
      </c>
      <c r="D542" s="8">
        <v>1.47319278128755</v>
      </c>
      <c r="E542" s="12">
        <v>7.6346731710426599E-3</v>
      </c>
      <c r="F542" s="8" t="s">
        <v>38</v>
      </c>
      <c r="G542" s="12" t="s">
        <v>38</v>
      </c>
      <c r="H542" s="12">
        <v>1</v>
      </c>
      <c r="I542" s="12" t="s">
        <v>38</v>
      </c>
      <c r="J542" s="12" t="s">
        <v>38</v>
      </c>
      <c r="K542" s="12" t="s">
        <v>38</v>
      </c>
      <c r="L542" s="13" t="str">
        <f>HYPERLINK("http://asia.ensembl.org/Homo_sapiens/Gene/Summary?g=ENSG00000205268", "ENSG00000205268")</f>
        <v>ENSG00000205268</v>
      </c>
      <c r="M542" s="12" t="s">
        <v>5250</v>
      </c>
      <c r="N542" s="12" t="s">
        <v>13643</v>
      </c>
    </row>
    <row r="543" spans="1:14">
      <c r="A543" s="12" t="s">
        <v>2437</v>
      </c>
      <c r="B543" s="8">
        <v>11070.515542155799</v>
      </c>
      <c r="C543" s="12">
        <v>3989.2497569963798</v>
      </c>
      <c r="D543" s="8">
        <v>1.4725330535499499</v>
      </c>
      <c r="E543" s="12">
        <v>3.20014319087437E-3</v>
      </c>
      <c r="F543" s="8" t="s">
        <v>2438</v>
      </c>
      <c r="G543" s="12" t="s">
        <v>12636</v>
      </c>
      <c r="H543" s="12">
        <v>1</v>
      </c>
      <c r="I543" s="13" t="str">
        <f>HYPERLINK("http://www.ncbi.nlm.nih.gov/gene/1965", "1965")</f>
        <v>1965</v>
      </c>
      <c r="J543" s="13" t="str">
        <f>HYPERLINK("http://www.ncbi.nlm.nih.gov/nuccore/NM_004094", "NM_004094")</f>
        <v>NM_004094</v>
      </c>
      <c r="K543" s="12" t="s">
        <v>2439</v>
      </c>
      <c r="L543" s="13" t="str">
        <f>HYPERLINK("http://asia.ensembl.org/Homo_sapiens/Gene/Summary?g=ENSG00000134001", "ENSG00000134001")</f>
        <v>ENSG00000134001</v>
      </c>
      <c r="M543" s="12" t="s">
        <v>12637</v>
      </c>
      <c r="N543" s="12" t="s">
        <v>12638</v>
      </c>
    </row>
    <row r="544" spans="1:14">
      <c r="A544" s="12" t="s">
        <v>10711</v>
      </c>
      <c r="B544" s="8">
        <v>546.77550159963005</v>
      </c>
      <c r="C544" s="12">
        <v>197.12681839586699</v>
      </c>
      <c r="D544" s="8">
        <v>1.47182454089936</v>
      </c>
      <c r="E544" s="12">
        <v>2.5315178131510101E-3</v>
      </c>
      <c r="F544" s="8" t="s">
        <v>3080</v>
      </c>
      <c r="G544" s="12" t="s">
        <v>15747</v>
      </c>
      <c r="H544" s="12">
        <v>1</v>
      </c>
      <c r="I544" s="13" t="str">
        <f>HYPERLINK("http://www.ncbi.nlm.nih.gov/gene/55607", "55607")</f>
        <v>55607</v>
      </c>
      <c r="J544" s="12" t="s">
        <v>15748</v>
      </c>
      <c r="K544" s="12" t="s">
        <v>15749</v>
      </c>
      <c r="L544" s="13" t="str">
        <f>HYPERLINK("http://asia.ensembl.org/Homo_sapiens/Gene/Summary?g=ENSG00000158528", "ENSG00000158528")</f>
        <v>ENSG00000158528</v>
      </c>
      <c r="M544" s="12" t="s">
        <v>15750</v>
      </c>
      <c r="N544" s="12" t="s">
        <v>15751</v>
      </c>
    </row>
    <row r="545" spans="1:14">
      <c r="A545" s="12" t="s">
        <v>6035</v>
      </c>
      <c r="B545" s="8">
        <v>1237.1454892878</v>
      </c>
      <c r="C545" s="12">
        <v>446.37943722893198</v>
      </c>
      <c r="D545" s="8">
        <v>1.4706726972825099</v>
      </c>
      <c r="E545" s="12">
        <v>9.2225509642845198E-3</v>
      </c>
      <c r="F545" s="8" t="s">
        <v>6036</v>
      </c>
      <c r="G545" s="12" t="s">
        <v>6037</v>
      </c>
      <c r="H545" s="12">
        <v>1</v>
      </c>
      <c r="I545" s="13" t="str">
        <f>HYPERLINK("http://www.ncbi.nlm.nih.gov/gene/5099", "5099")</f>
        <v>5099</v>
      </c>
      <c r="J545" s="12" t="s">
        <v>14016</v>
      </c>
      <c r="K545" s="12" t="s">
        <v>14017</v>
      </c>
      <c r="L545" s="13" t="str">
        <f>HYPERLINK("http://asia.ensembl.org/Homo_sapiens/Gene/Summary?g=ENSG00000169851", "ENSG00000169851")</f>
        <v>ENSG00000169851</v>
      </c>
      <c r="M545" s="12" t="s">
        <v>14018</v>
      </c>
      <c r="N545" s="12" t="s">
        <v>14019</v>
      </c>
    </row>
    <row r="546" spans="1:14">
      <c r="A546" s="12" t="s">
        <v>11476</v>
      </c>
      <c r="B546" s="8">
        <v>3284.0967654931801</v>
      </c>
      <c r="C546" s="12">
        <v>1185.27642465483</v>
      </c>
      <c r="D546" s="8">
        <v>1.4702730795772301</v>
      </c>
      <c r="E546" s="12">
        <v>3.90107053664555E-3</v>
      </c>
      <c r="F546" s="8" t="s">
        <v>4784</v>
      </c>
      <c r="G546" s="12" t="s">
        <v>4785</v>
      </c>
      <c r="H546" s="12">
        <v>1</v>
      </c>
      <c r="I546" s="13" t="str">
        <f>HYPERLINK("http://www.ncbi.nlm.nih.gov/gene/26036", "26036")</f>
        <v>26036</v>
      </c>
      <c r="J546" s="13" t="str">
        <f>HYPERLINK("http://www.ncbi.nlm.nih.gov/nuccore/NM_001257273", "NM_001257273")</f>
        <v>NM_001257273</v>
      </c>
      <c r="K546" s="12" t="s">
        <v>11477</v>
      </c>
      <c r="L546" s="13" t="str">
        <f>HYPERLINK("http://asia.ensembl.org/Homo_sapiens/Gene/Summary?g=ENSG00000112200", "ENSG00000112200")</f>
        <v>ENSG00000112200</v>
      </c>
      <c r="M546" s="12" t="s">
        <v>16154</v>
      </c>
      <c r="N546" s="12" t="s">
        <v>16155</v>
      </c>
    </row>
    <row r="547" spans="1:14">
      <c r="A547" s="12" t="s">
        <v>7591</v>
      </c>
      <c r="B547" s="8">
        <v>360.833106277627</v>
      </c>
      <c r="C547" s="12">
        <v>130.28844105872199</v>
      </c>
      <c r="D547" s="8">
        <v>1.46962261485785</v>
      </c>
      <c r="E547" s="12">
        <v>1.7553717917022101E-2</v>
      </c>
      <c r="F547" s="8" t="s">
        <v>7592</v>
      </c>
      <c r="G547" s="12" t="s">
        <v>7593</v>
      </c>
      <c r="H547" s="12">
        <v>1</v>
      </c>
      <c r="I547" s="13" t="str">
        <f>HYPERLINK("http://www.ncbi.nlm.nih.gov/gene/10973", "10973")</f>
        <v>10973</v>
      </c>
      <c r="J547" s="13" t="str">
        <f>HYPERLINK("http://www.ncbi.nlm.nih.gov/nuccore/NM_006828", "NM_006828")</f>
        <v>NM_006828</v>
      </c>
      <c r="K547" s="12" t="s">
        <v>7594</v>
      </c>
      <c r="L547" s="13" t="str">
        <f>HYPERLINK("http://asia.ensembl.org/Homo_sapiens/Gene/Summary?g=ENSG00000112249", "ENSG00000112249")</f>
        <v>ENSG00000112249</v>
      </c>
      <c r="M547" s="12" t="s">
        <v>14476</v>
      </c>
      <c r="N547" s="12" t="s">
        <v>14477</v>
      </c>
    </row>
    <row r="548" spans="1:14">
      <c r="A548" s="12" t="s">
        <v>10564</v>
      </c>
      <c r="B548" s="8">
        <v>547.62734856047302</v>
      </c>
      <c r="C548" s="12">
        <v>197.77679576591001</v>
      </c>
      <c r="D548" s="8">
        <v>1.46932132541045</v>
      </c>
      <c r="E548" s="12">
        <v>1.10468111448679E-3</v>
      </c>
      <c r="F548" s="8" t="s">
        <v>1065</v>
      </c>
      <c r="G548" s="12" t="s">
        <v>1066</v>
      </c>
      <c r="H548" s="12">
        <v>1</v>
      </c>
      <c r="I548" s="13" t="str">
        <f>HYPERLINK("http://www.ncbi.nlm.nih.gov/gene/25913", "25913")</f>
        <v>25913</v>
      </c>
      <c r="J548" s="12" t="s">
        <v>12220</v>
      </c>
      <c r="K548" s="12" t="s">
        <v>12221</v>
      </c>
      <c r="L548" s="13" t="str">
        <f>HYPERLINK("http://asia.ensembl.org/Homo_sapiens/Gene/Summary?g=ENSG00000128513", "ENSG00000128513")</f>
        <v>ENSG00000128513</v>
      </c>
      <c r="M548" s="12" t="s">
        <v>12222</v>
      </c>
      <c r="N548" s="12" t="s">
        <v>12223</v>
      </c>
    </row>
    <row r="549" spans="1:14">
      <c r="A549" s="12" t="s">
        <v>1912</v>
      </c>
      <c r="B549" s="8">
        <v>158.98546038434699</v>
      </c>
      <c r="C549" s="12">
        <v>57.426346905295198</v>
      </c>
      <c r="D549" s="8">
        <v>1.46911013871427</v>
      </c>
      <c r="E549" s="12">
        <v>1.1297298094886299E-2</v>
      </c>
      <c r="F549" s="8" t="s">
        <v>1913</v>
      </c>
      <c r="G549" s="12" t="s">
        <v>1914</v>
      </c>
      <c r="H549" s="12">
        <v>1</v>
      </c>
      <c r="I549" s="13" t="str">
        <f>HYPERLINK("http://www.ncbi.nlm.nih.gov/gene/154442", "154442")</f>
        <v>154442</v>
      </c>
      <c r="J549" s="13" t="str">
        <f>HYPERLINK("http://www.ncbi.nlm.nih.gov/nuccore/NR_037157", "NR_037157")</f>
        <v>NR_037157</v>
      </c>
      <c r="K549" s="12" t="s">
        <v>199</v>
      </c>
      <c r="L549" s="13" t="str">
        <f>HYPERLINK("http://asia.ensembl.org/Homo_sapiens/Gene/Summary?g=ENSG00000203808", "ENSG00000203808")</f>
        <v>ENSG00000203808</v>
      </c>
      <c r="M549" s="12" t="s">
        <v>12474</v>
      </c>
    </row>
    <row r="550" spans="1:14">
      <c r="A550" s="12" t="s">
        <v>10705</v>
      </c>
      <c r="B550" s="8">
        <v>767.46513174714596</v>
      </c>
      <c r="C550" s="12">
        <v>277.29680620597202</v>
      </c>
      <c r="D550" s="8">
        <v>1.46867020590311</v>
      </c>
      <c r="E550" s="12">
        <v>4.0412355509162603E-3</v>
      </c>
      <c r="F550" s="8" t="s">
        <v>6520</v>
      </c>
      <c r="G550" s="12" t="s">
        <v>15739</v>
      </c>
      <c r="H550" s="12">
        <v>1</v>
      </c>
      <c r="I550" s="13" t="str">
        <f>HYPERLINK("http://www.ncbi.nlm.nih.gov/gene/23456", "23456")</f>
        <v>23456</v>
      </c>
      <c r="J550" s="13" t="str">
        <f>HYPERLINK("http://www.ncbi.nlm.nih.gov/nuccore/NM_012089", "NM_012089")</f>
        <v>NM_012089</v>
      </c>
      <c r="K550" s="12" t="s">
        <v>6521</v>
      </c>
      <c r="L550" s="13" t="str">
        <f>HYPERLINK("http://asia.ensembl.org/Homo_sapiens/Gene/Summary?g=ENSG00000135776", "ENSG00000135776")</f>
        <v>ENSG00000135776</v>
      </c>
      <c r="M550" s="12" t="s">
        <v>15740</v>
      </c>
      <c r="N550" s="12" t="s">
        <v>6522</v>
      </c>
    </row>
    <row r="551" spans="1:14">
      <c r="A551" s="12" t="s">
        <v>8682</v>
      </c>
      <c r="B551" s="8">
        <v>4279.0325725016801</v>
      </c>
      <c r="C551" s="12">
        <v>1546.52707964298</v>
      </c>
      <c r="D551" s="8">
        <v>1.4682525657729399</v>
      </c>
      <c r="E551" s="12">
        <v>4.0941514456772701E-3</v>
      </c>
      <c r="F551" s="8" t="s">
        <v>4492</v>
      </c>
      <c r="G551" s="12" t="s">
        <v>4493</v>
      </c>
      <c r="H551" s="12">
        <v>1</v>
      </c>
      <c r="I551" s="13" t="str">
        <f>HYPERLINK("http://www.ncbi.nlm.nih.gov/gene/2820", "2820")</f>
        <v>2820</v>
      </c>
      <c r="J551" s="12" t="s">
        <v>14807</v>
      </c>
      <c r="K551" s="12" t="s">
        <v>14808</v>
      </c>
      <c r="L551" s="13" t="str">
        <f>HYPERLINK("http://asia.ensembl.org/Homo_sapiens/Gene/Summary?g=ENSG00000115159", "ENSG00000115159")</f>
        <v>ENSG00000115159</v>
      </c>
      <c r="M551" s="12" t="s">
        <v>14809</v>
      </c>
      <c r="N551" s="12" t="s">
        <v>14810</v>
      </c>
    </row>
    <row r="552" spans="1:14">
      <c r="A552" s="12" t="s">
        <v>5167</v>
      </c>
      <c r="B552" s="8">
        <v>789.89876819689698</v>
      </c>
      <c r="C552" s="12">
        <v>285.50609478256598</v>
      </c>
      <c r="D552" s="8">
        <v>1.46814622875223</v>
      </c>
      <c r="E552" s="12">
        <v>2.2968343685651998E-3</v>
      </c>
      <c r="F552" s="8" t="s">
        <v>5168</v>
      </c>
      <c r="G552" s="12" t="s">
        <v>13616</v>
      </c>
      <c r="H552" s="12">
        <v>1</v>
      </c>
      <c r="I552" s="13" t="str">
        <f>HYPERLINK("http://www.ncbi.nlm.nih.gov/gene/196528", "196528")</f>
        <v>196528</v>
      </c>
      <c r="J552" s="13" t="str">
        <f>HYPERLINK("http://www.ncbi.nlm.nih.gov/nuccore/NM_152641", "NM_152641")</f>
        <v>NM_152641</v>
      </c>
      <c r="K552" s="12" t="s">
        <v>5169</v>
      </c>
      <c r="L552" s="13" t="str">
        <f>HYPERLINK("http://asia.ensembl.org/Homo_sapiens/Gene/Summary?g=ENSG00000189079", "ENSG00000189079")</f>
        <v>ENSG00000189079</v>
      </c>
      <c r="M552" s="12" t="s">
        <v>13617</v>
      </c>
      <c r="N552" s="12" t="s">
        <v>13618</v>
      </c>
    </row>
    <row r="553" spans="1:14">
      <c r="A553" s="12" t="s">
        <v>9476</v>
      </c>
      <c r="B553" s="8">
        <v>2970.8938231687098</v>
      </c>
      <c r="C553" s="12">
        <v>1073.84420246543</v>
      </c>
      <c r="D553" s="8">
        <v>1.4681123489461201</v>
      </c>
      <c r="E553" s="12">
        <v>5.3903552993789898E-3</v>
      </c>
      <c r="F553" s="8" t="s">
        <v>9477</v>
      </c>
      <c r="G553" s="12" t="s">
        <v>456</v>
      </c>
      <c r="H553" s="12">
        <v>1</v>
      </c>
      <c r="I553" s="13" t="str">
        <f>HYPERLINK("http://www.ncbi.nlm.nih.gov/gene/83479", "83479")</f>
        <v>83479</v>
      </c>
      <c r="J553" s="13" t="str">
        <f>HYPERLINK("http://www.ncbi.nlm.nih.gov/nuccore/NM_001031725", "NM_001031725")</f>
        <v>NM_001031725</v>
      </c>
      <c r="K553" s="12" t="s">
        <v>9478</v>
      </c>
      <c r="L553" s="13" t="str">
        <f>HYPERLINK("http://asia.ensembl.org/Homo_sapiens/Gene/Summary?g=ENSG00000118197", "ENSG00000118197")</f>
        <v>ENSG00000118197</v>
      </c>
      <c r="M553" s="12" t="s">
        <v>15044</v>
      </c>
      <c r="N553" s="12" t="s">
        <v>15045</v>
      </c>
    </row>
    <row r="554" spans="1:14">
      <c r="A554" s="12" t="s">
        <v>5819</v>
      </c>
      <c r="B554" s="8">
        <v>1020.906858975</v>
      </c>
      <c r="C554" s="12">
        <v>369.12712894317502</v>
      </c>
      <c r="D554" s="8">
        <v>1.46766157268412</v>
      </c>
      <c r="E554" s="12">
        <v>2.2790072815928901E-3</v>
      </c>
      <c r="F554" s="8" t="s">
        <v>5820</v>
      </c>
      <c r="G554" s="12" t="s">
        <v>5821</v>
      </c>
      <c r="H554" s="12">
        <v>1</v>
      </c>
      <c r="I554" s="13" t="str">
        <f>HYPERLINK("http://www.ncbi.nlm.nih.gov/gene/55669", "55669")</f>
        <v>55669</v>
      </c>
      <c r="J554" s="13" t="str">
        <f>HYPERLINK("http://www.ncbi.nlm.nih.gov/nuccore/NM_033540", "NM_033540")</f>
        <v>NM_033540</v>
      </c>
      <c r="K554" s="12" t="s">
        <v>5822</v>
      </c>
      <c r="L554" s="13" t="str">
        <f>HYPERLINK("http://asia.ensembl.org/Homo_sapiens/Gene/Summary?g=ENSG00000171109", "ENSG00000171109")</f>
        <v>ENSG00000171109</v>
      </c>
      <c r="M554" s="12" t="s">
        <v>13923</v>
      </c>
      <c r="N554" s="12" t="s">
        <v>13924</v>
      </c>
    </row>
    <row r="555" spans="1:14">
      <c r="A555" s="12" t="s">
        <v>5343</v>
      </c>
      <c r="B555" s="8">
        <v>5987.7049477008804</v>
      </c>
      <c r="C555" s="12">
        <v>2165.9508958380502</v>
      </c>
      <c r="D555" s="8">
        <v>1.46700259633741</v>
      </c>
      <c r="E555" s="12">
        <v>2.2200933985262999E-3</v>
      </c>
      <c r="F555" s="8" t="s">
        <v>5344</v>
      </c>
      <c r="G555" s="12" t="s">
        <v>5345</v>
      </c>
      <c r="H555" s="12">
        <v>1</v>
      </c>
      <c r="I555" s="13" t="str">
        <f>HYPERLINK("http://www.ncbi.nlm.nih.gov/gene/8091", "8091")</f>
        <v>8091</v>
      </c>
      <c r="J555" s="13" t="str">
        <f>HYPERLINK("http://www.ncbi.nlm.nih.gov/nuccore/NM_003483", "NM_003483")</f>
        <v>NM_003483</v>
      </c>
      <c r="K555" s="12" t="s">
        <v>5346</v>
      </c>
      <c r="L555" s="13" t="str">
        <f>HYPERLINK("http://asia.ensembl.org/Homo_sapiens/Gene/Summary?g=ENSG00000149948", "ENSG00000149948")</f>
        <v>ENSG00000149948</v>
      </c>
      <c r="M555" s="12" t="s">
        <v>13695</v>
      </c>
      <c r="N555" s="12" t="s">
        <v>13696</v>
      </c>
    </row>
    <row r="556" spans="1:14">
      <c r="A556" s="12" t="s">
        <v>7295</v>
      </c>
      <c r="B556" s="8">
        <v>3088.5140193059501</v>
      </c>
      <c r="C556" s="12">
        <v>1118.28162189011</v>
      </c>
      <c r="D556" s="8">
        <v>1.4656293250341099</v>
      </c>
      <c r="E556" s="12">
        <v>1.69431161744903E-3</v>
      </c>
      <c r="F556" s="8" t="s">
        <v>7296</v>
      </c>
      <c r="G556" s="12" t="s">
        <v>7297</v>
      </c>
      <c r="H556" s="12">
        <v>1</v>
      </c>
      <c r="I556" s="13" t="str">
        <f>HYPERLINK("http://www.ncbi.nlm.nih.gov/gene/11011", "11011")</f>
        <v>11011</v>
      </c>
      <c r="J556" s="13" t="str">
        <f>HYPERLINK("http://www.ncbi.nlm.nih.gov/nuccore/NM_006852", "NM_006852")</f>
        <v>NM_006852</v>
      </c>
      <c r="K556" s="12" t="s">
        <v>7298</v>
      </c>
      <c r="L556" s="13" t="str">
        <f>HYPERLINK("http://asia.ensembl.org/Homo_sapiens/Gene/Summary?g=ENSG00000146872", "ENSG00000146872")</f>
        <v>ENSG00000146872</v>
      </c>
      <c r="M556" s="12" t="s">
        <v>14390</v>
      </c>
      <c r="N556" s="12" t="s">
        <v>14391</v>
      </c>
    </row>
    <row r="557" spans="1:14">
      <c r="A557" s="12" t="s">
        <v>6216</v>
      </c>
      <c r="B557" s="8">
        <v>1286.19282596584</v>
      </c>
      <c r="C557" s="12">
        <v>465.83355175622398</v>
      </c>
      <c r="D557" s="8">
        <v>1.4652204888436</v>
      </c>
      <c r="E557" s="12">
        <v>6.0682447459068601E-3</v>
      </c>
      <c r="F557" s="8" t="s">
        <v>6217</v>
      </c>
      <c r="G557" s="12" t="s">
        <v>6218</v>
      </c>
      <c r="H557" s="12">
        <v>1</v>
      </c>
      <c r="I557" s="13" t="str">
        <f>HYPERLINK("http://www.ncbi.nlm.nih.gov/gene/9736", "9736")</f>
        <v>9736</v>
      </c>
      <c r="J557" s="13" t="str">
        <f>HYPERLINK("http://www.ncbi.nlm.nih.gov/nuccore/NM_014709", "NM_014709")</f>
        <v>NM_014709</v>
      </c>
      <c r="K557" s="12" t="s">
        <v>6219</v>
      </c>
      <c r="L557" s="13" t="str">
        <f>HYPERLINK("http://asia.ensembl.org/Homo_sapiens/Gene/Summary?g=ENSG00000115464", "ENSG00000115464")</f>
        <v>ENSG00000115464</v>
      </c>
      <c r="M557" s="12" t="s">
        <v>14096</v>
      </c>
      <c r="N557" s="12" t="s">
        <v>14097</v>
      </c>
    </row>
    <row r="558" spans="1:14">
      <c r="A558" s="12" t="s">
        <v>10275</v>
      </c>
      <c r="B558" s="8">
        <v>9219.37137148076</v>
      </c>
      <c r="C558" s="12">
        <v>3340.40775213389</v>
      </c>
      <c r="D558" s="8">
        <v>1.46464416466657</v>
      </c>
      <c r="E558" s="12">
        <v>1.9897578014621501E-3</v>
      </c>
      <c r="F558" s="8" t="s">
        <v>10276</v>
      </c>
      <c r="G558" s="12" t="s">
        <v>10277</v>
      </c>
      <c r="H558" s="12">
        <v>1</v>
      </c>
      <c r="I558" s="13" t="str">
        <f>HYPERLINK("http://www.ncbi.nlm.nih.gov/gene/6670", "6670")</f>
        <v>6670</v>
      </c>
      <c r="J558" s="12" t="s">
        <v>15348</v>
      </c>
      <c r="K558" s="12" t="s">
        <v>15349</v>
      </c>
      <c r="L558" s="13" t="str">
        <f>HYPERLINK("http://asia.ensembl.org/Homo_sapiens/Gene/Summary?g=ENSG00000172845", "ENSG00000172845")</f>
        <v>ENSG00000172845</v>
      </c>
      <c r="M558" s="12" t="s">
        <v>15350</v>
      </c>
      <c r="N558" s="12" t="s">
        <v>15351</v>
      </c>
    </row>
    <row r="559" spans="1:14">
      <c r="A559" s="12" t="s">
        <v>5507</v>
      </c>
      <c r="B559" s="8">
        <v>2014.62025714779</v>
      </c>
      <c r="C559" s="12">
        <v>730.562762933822</v>
      </c>
      <c r="D559" s="8">
        <v>1.4634277997579299</v>
      </c>
      <c r="E559" s="12">
        <v>4.7550743397346603E-3</v>
      </c>
      <c r="F559" s="8" t="s">
        <v>5508</v>
      </c>
      <c r="G559" s="12" t="s">
        <v>5509</v>
      </c>
      <c r="H559" s="12">
        <v>1</v>
      </c>
      <c r="I559" s="13" t="str">
        <f>HYPERLINK("http://www.ncbi.nlm.nih.gov/gene/55636", "55636")</f>
        <v>55636</v>
      </c>
      <c r="J559" s="13" t="str">
        <f>HYPERLINK("http://www.ncbi.nlm.nih.gov/nuccore/NM_017780", "NM_017780")</f>
        <v>NM_017780</v>
      </c>
      <c r="K559" s="12" t="s">
        <v>5510</v>
      </c>
      <c r="L559" s="13" t="str">
        <f>HYPERLINK("http://asia.ensembl.org/Homo_sapiens/Gene/Summary?g=ENSG00000171316", "ENSG00000171316")</f>
        <v>ENSG00000171316</v>
      </c>
      <c r="M559" s="12" t="s">
        <v>13793</v>
      </c>
      <c r="N559" s="12" t="s">
        <v>13794</v>
      </c>
    </row>
    <row r="560" spans="1:14">
      <c r="A560" s="12" t="s">
        <v>11275</v>
      </c>
      <c r="B560" s="8">
        <v>1260.30155645581</v>
      </c>
      <c r="C560" s="12">
        <v>457.75095049696898</v>
      </c>
      <c r="D560" s="8">
        <v>1.46113418654618</v>
      </c>
      <c r="E560" s="12">
        <v>2.62161085272136E-3</v>
      </c>
      <c r="F560" s="8" t="s">
        <v>10339</v>
      </c>
      <c r="G560" s="12" t="s">
        <v>10340</v>
      </c>
      <c r="H560" s="12">
        <v>1</v>
      </c>
      <c r="I560" s="13" t="str">
        <f>HYPERLINK("http://www.ncbi.nlm.nih.gov/gene/114299", "114299")</f>
        <v>114299</v>
      </c>
      <c r="J560" s="12" t="s">
        <v>16084</v>
      </c>
      <c r="K560" s="12" t="s">
        <v>16085</v>
      </c>
      <c r="L560" s="13" t="str">
        <f>HYPERLINK("http://asia.ensembl.org/Homo_sapiens/Gene/Summary?g=ENSG00000243444", "ENSG00000243444")</f>
        <v>ENSG00000243444</v>
      </c>
      <c r="M560" s="12" t="s">
        <v>16086</v>
      </c>
      <c r="N560" s="12" t="s">
        <v>16087</v>
      </c>
    </row>
    <row r="561" spans="1:14">
      <c r="A561" s="12" t="s">
        <v>3211</v>
      </c>
      <c r="B561" s="8">
        <v>1325.0143912671999</v>
      </c>
      <c r="C561" s="12">
        <v>481.44703985387503</v>
      </c>
      <c r="D561" s="8">
        <v>1.4605590166400999</v>
      </c>
      <c r="E561" s="12">
        <v>5.9030848839191101E-3</v>
      </c>
      <c r="F561" s="8" t="s">
        <v>3212</v>
      </c>
      <c r="G561" s="12" t="s">
        <v>3213</v>
      </c>
      <c r="H561" s="12">
        <v>1</v>
      </c>
      <c r="I561" s="13" t="str">
        <f>HYPERLINK("http://www.ncbi.nlm.nih.gov/gene/8723", "8723")</f>
        <v>8723</v>
      </c>
      <c r="J561" s="12" t="s">
        <v>12907</v>
      </c>
      <c r="K561" s="12" t="s">
        <v>12908</v>
      </c>
      <c r="L561" s="13" t="str">
        <f>HYPERLINK("http://asia.ensembl.org/Homo_sapiens/Gene/Summary?g=ENSG00000114520", "ENSG00000114520")</f>
        <v>ENSG00000114520</v>
      </c>
      <c r="M561" s="12" t="s">
        <v>12909</v>
      </c>
      <c r="N561" s="12" t="s">
        <v>12910</v>
      </c>
    </row>
    <row r="562" spans="1:14">
      <c r="A562" s="12" t="s">
        <v>5226</v>
      </c>
      <c r="B562" s="8">
        <v>4197.0382018049604</v>
      </c>
      <c r="C562" s="12">
        <v>1525.6474238588901</v>
      </c>
      <c r="D562" s="8">
        <v>1.4599500000258701</v>
      </c>
      <c r="E562" s="12">
        <v>3.5148853432020702E-3</v>
      </c>
      <c r="F562" s="8" t="s">
        <v>5227</v>
      </c>
      <c r="G562" s="12" t="s">
        <v>13626</v>
      </c>
      <c r="H562" s="12">
        <v>1</v>
      </c>
      <c r="I562" s="13" t="str">
        <f>HYPERLINK("http://www.ncbi.nlm.nih.gov/gene/5796", "5796")</f>
        <v>5796</v>
      </c>
      <c r="J562" s="12" t="s">
        <v>13627</v>
      </c>
      <c r="K562" s="12" t="s">
        <v>13628</v>
      </c>
      <c r="L562" s="13" t="str">
        <f>HYPERLINK("http://asia.ensembl.org/Homo_sapiens/Gene/Summary?g=ENSG00000152894", "ENSG00000152894")</f>
        <v>ENSG00000152894</v>
      </c>
      <c r="M562" s="12" t="s">
        <v>13629</v>
      </c>
      <c r="N562" s="12" t="s">
        <v>13630</v>
      </c>
    </row>
    <row r="563" spans="1:14">
      <c r="A563" s="12" t="s">
        <v>10539</v>
      </c>
      <c r="B563" s="8">
        <v>665.386216744433</v>
      </c>
      <c r="C563" s="12">
        <v>241.98305283080501</v>
      </c>
      <c r="D563" s="8">
        <v>1.4592859690096101</v>
      </c>
      <c r="E563" s="12">
        <v>1.5421708054490599E-3</v>
      </c>
      <c r="F563" s="8" t="s">
        <v>929</v>
      </c>
      <c r="G563" s="12" t="s">
        <v>15546</v>
      </c>
      <c r="H563" s="12">
        <v>1</v>
      </c>
      <c r="I563" s="13" t="str">
        <f>HYPERLINK("http://www.ncbi.nlm.nih.gov/gene/54764", "54764")</f>
        <v>54764</v>
      </c>
      <c r="J563" s="13" t="str">
        <f>HYPERLINK("http://www.ncbi.nlm.nih.gov/nuccore/NM_017580", "NM_017580")</f>
        <v>NM_017580</v>
      </c>
      <c r="K563" s="12" t="s">
        <v>930</v>
      </c>
      <c r="L563" s="13" t="str">
        <f>HYPERLINK("http://asia.ensembl.org/Homo_sapiens/Gene/Summary?g=ENSG00000019995", "ENSG00000019995")</f>
        <v>ENSG00000019995</v>
      </c>
      <c r="M563" s="12" t="s">
        <v>15547</v>
      </c>
      <c r="N563" s="12" t="s">
        <v>931</v>
      </c>
    </row>
    <row r="564" spans="1:14">
      <c r="A564" s="12" t="s">
        <v>5316</v>
      </c>
      <c r="B564" s="8">
        <v>1892.9721731150901</v>
      </c>
      <c r="C564" s="12">
        <v>689.12131226565305</v>
      </c>
      <c r="D564" s="8">
        <v>1.4578233223594901</v>
      </c>
      <c r="E564" s="12">
        <v>1.6316711908959302E-5</v>
      </c>
      <c r="F564" s="8" t="s">
        <v>5317</v>
      </c>
      <c r="G564" s="12" t="s">
        <v>5318</v>
      </c>
      <c r="H564" s="12">
        <v>1</v>
      </c>
      <c r="I564" s="13" t="str">
        <f>HYPERLINK("http://www.ncbi.nlm.nih.gov/gene/7770", "7770")</f>
        <v>7770</v>
      </c>
      <c r="J564" s="13" t="str">
        <f>HYPERLINK("http://www.ncbi.nlm.nih.gov/nuccore/NM_182490", "NM_182490")</f>
        <v>NM_182490</v>
      </c>
      <c r="K564" s="12" t="s">
        <v>5319</v>
      </c>
      <c r="L564" s="13" t="str">
        <f>HYPERLINK("http://asia.ensembl.org/Homo_sapiens/Gene/Summary?g=ENSG00000131115", "ENSG00000131115")</f>
        <v>ENSG00000131115</v>
      </c>
      <c r="M564" s="12" t="s">
        <v>13686</v>
      </c>
      <c r="N564" s="12" t="s">
        <v>13687</v>
      </c>
    </row>
    <row r="565" spans="1:14">
      <c r="A565" s="12" t="s">
        <v>2308</v>
      </c>
      <c r="B565" s="8">
        <v>357.13752637523697</v>
      </c>
      <c r="C565" s="12">
        <v>130.056728131662</v>
      </c>
      <c r="D565" s="8">
        <v>1.4573386985530099</v>
      </c>
      <c r="E565" s="12">
        <v>5.5791001786394405E-4</v>
      </c>
      <c r="F565" s="8" t="s">
        <v>2309</v>
      </c>
      <c r="G565" s="12" t="s">
        <v>2310</v>
      </c>
      <c r="H565" s="12">
        <v>1</v>
      </c>
      <c r="I565" s="13" t="str">
        <f>HYPERLINK("http://www.ncbi.nlm.nih.gov/gene/118987", "118987")</f>
        <v>118987</v>
      </c>
      <c r="J565" s="13" t="str">
        <f>HYPERLINK("http://www.ncbi.nlm.nih.gov/nuccore/NM_173791", "NM_173791")</f>
        <v>NM_173791</v>
      </c>
      <c r="K565" s="12" t="s">
        <v>2311</v>
      </c>
      <c r="L565" s="13" t="str">
        <f>HYPERLINK("http://asia.ensembl.org/Homo_sapiens/Gene/Summary?g=ENSG00000165650", "ENSG00000165650")</f>
        <v>ENSG00000165650</v>
      </c>
      <c r="M565" s="12" t="s">
        <v>12603</v>
      </c>
      <c r="N565" s="12" t="s">
        <v>2312</v>
      </c>
    </row>
    <row r="566" spans="1:14">
      <c r="A566" s="12" t="s">
        <v>590</v>
      </c>
      <c r="B566" s="8">
        <v>3081.2788258371602</v>
      </c>
      <c r="C566" s="12">
        <v>1122.29066976728</v>
      </c>
      <c r="D566" s="8">
        <v>1.4570828603494299</v>
      </c>
      <c r="E566" s="12">
        <v>1.41653018052011E-3</v>
      </c>
      <c r="F566" s="8" t="s">
        <v>591</v>
      </c>
      <c r="G566" s="12" t="s">
        <v>592</v>
      </c>
      <c r="H566" s="12">
        <v>1</v>
      </c>
      <c r="I566" s="13" t="str">
        <f>HYPERLINK("http://www.ncbi.nlm.nih.gov/gene/54839", "54839")</f>
        <v>54839</v>
      </c>
      <c r="J566" s="12" t="s">
        <v>12039</v>
      </c>
      <c r="K566" s="12" t="s">
        <v>12040</v>
      </c>
      <c r="L566" s="13" t="str">
        <f>HYPERLINK("http://asia.ensembl.org/Homo_sapiens/Gene/Summary?g=ENSG00000137821", "ENSG00000137821")</f>
        <v>ENSG00000137821</v>
      </c>
      <c r="M566" s="12" t="s">
        <v>12041</v>
      </c>
      <c r="N566" s="12" t="s">
        <v>12042</v>
      </c>
    </row>
    <row r="567" spans="1:14">
      <c r="A567" s="12" t="s">
        <v>9942</v>
      </c>
      <c r="B567" s="8">
        <v>446.49505569890903</v>
      </c>
      <c r="C567" s="12">
        <v>162.84443583141999</v>
      </c>
      <c r="D567" s="8">
        <v>1.45514977394155</v>
      </c>
      <c r="E567" s="12">
        <v>2.3276518543005199E-2</v>
      </c>
      <c r="F567" s="8" t="s">
        <v>178</v>
      </c>
      <c r="G567" s="12" t="s">
        <v>11884</v>
      </c>
      <c r="H567" s="12">
        <v>1</v>
      </c>
      <c r="I567" s="13" t="str">
        <f>HYPERLINK("http://www.ncbi.nlm.nih.gov/gene/834", "834")</f>
        <v>834</v>
      </c>
      <c r="J567" s="12" t="s">
        <v>15249</v>
      </c>
      <c r="K567" s="12" t="s">
        <v>15250</v>
      </c>
      <c r="L567" s="13" t="str">
        <f>HYPERLINK("http://asia.ensembl.org/Homo_sapiens/Gene/Summary?g=ENSG00000137752", "ENSG00000137752")</f>
        <v>ENSG00000137752</v>
      </c>
      <c r="M567" s="12" t="s">
        <v>11887</v>
      </c>
      <c r="N567" s="12" t="s">
        <v>11888</v>
      </c>
    </row>
    <row r="568" spans="1:14">
      <c r="A568" s="12" t="s">
        <v>10697</v>
      </c>
      <c r="B568" s="8">
        <v>1334.6783038267399</v>
      </c>
      <c r="C568" s="12">
        <v>486.841572816054</v>
      </c>
      <c r="D568" s="8">
        <v>1.4549677781288699</v>
      </c>
      <c r="E568" s="12">
        <v>4.3158227561567201E-4</v>
      </c>
      <c r="F568" s="8" t="s">
        <v>6676</v>
      </c>
      <c r="G568" s="12" t="s">
        <v>6677</v>
      </c>
      <c r="H568" s="12">
        <v>1</v>
      </c>
      <c r="I568" s="13" t="str">
        <f>HYPERLINK("http://www.ncbi.nlm.nih.gov/gene/2247", "2247")</f>
        <v>2247</v>
      </c>
      <c r="J568" s="13" t="str">
        <f>HYPERLINK("http://www.ncbi.nlm.nih.gov/nuccore/NM_002006", "NM_002006")</f>
        <v>NM_002006</v>
      </c>
      <c r="K568" s="12" t="s">
        <v>6678</v>
      </c>
      <c r="L568" s="13" t="str">
        <f>HYPERLINK("http://asia.ensembl.org/Homo_sapiens/Gene/Summary?g=ENSG00000138685", "ENSG00000138685")</f>
        <v>ENSG00000138685</v>
      </c>
      <c r="M568" s="12" t="s">
        <v>15729</v>
      </c>
      <c r="N568" s="12" t="s">
        <v>15730</v>
      </c>
    </row>
    <row r="569" spans="1:14">
      <c r="A569" s="12" t="s">
        <v>1578</v>
      </c>
      <c r="B569" s="8">
        <v>748.80673820753304</v>
      </c>
      <c r="C569" s="12">
        <v>273.13861740139703</v>
      </c>
      <c r="D569" s="8">
        <v>1.45496011483915</v>
      </c>
      <c r="E569" s="12">
        <v>3.5933223329779802E-3</v>
      </c>
      <c r="F569" s="8" t="s">
        <v>1579</v>
      </c>
      <c r="G569" s="12" t="s">
        <v>1580</v>
      </c>
      <c r="H569" s="12">
        <v>1</v>
      </c>
      <c r="I569" s="13" t="str">
        <f>HYPERLINK("http://www.ncbi.nlm.nih.gov/gene/545", "545")</f>
        <v>545</v>
      </c>
      <c r="J569" s="13" t="str">
        <f>HYPERLINK("http://www.ncbi.nlm.nih.gov/nuccore/NM_001184", "NM_001184")</f>
        <v>NM_001184</v>
      </c>
      <c r="K569" s="12" t="s">
        <v>1581</v>
      </c>
      <c r="L569" s="13" t="str">
        <f>HYPERLINK("http://asia.ensembl.org/Homo_sapiens/Gene/Summary?g=ENSG00000175054", "ENSG00000175054")</f>
        <v>ENSG00000175054</v>
      </c>
      <c r="M569" s="12" t="s">
        <v>12364</v>
      </c>
      <c r="N569" s="12" t="s">
        <v>12365</v>
      </c>
    </row>
    <row r="570" spans="1:14">
      <c r="A570" s="12" t="s">
        <v>10617</v>
      </c>
      <c r="B570" s="8">
        <v>868.66119274583002</v>
      </c>
      <c r="C570" s="12">
        <v>317.00933951357399</v>
      </c>
      <c r="D570" s="8">
        <v>1.45426824218021</v>
      </c>
      <c r="E570" s="12">
        <v>1.23958090471589E-3</v>
      </c>
      <c r="F570" s="8" t="s">
        <v>3744</v>
      </c>
      <c r="G570" s="12" t="s">
        <v>15637</v>
      </c>
      <c r="H570" s="12">
        <v>1</v>
      </c>
      <c r="I570" s="13" t="str">
        <f>HYPERLINK("http://www.ncbi.nlm.nih.gov/gene/140766", "140766")</f>
        <v>140766</v>
      </c>
      <c r="J570" s="12" t="s">
        <v>15638</v>
      </c>
      <c r="K570" s="12" t="s">
        <v>15639</v>
      </c>
      <c r="L570" s="13" t="str">
        <f>HYPERLINK("http://asia.ensembl.org/Homo_sapiens/Gene/Summary?g=ENSG00000138316", "ENSG00000138316")</f>
        <v>ENSG00000138316</v>
      </c>
      <c r="M570" s="12" t="s">
        <v>15640</v>
      </c>
      <c r="N570" s="12" t="s">
        <v>15641</v>
      </c>
    </row>
    <row r="571" spans="1:14">
      <c r="A571" s="12" t="s">
        <v>4360</v>
      </c>
      <c r="B571" s="8">
        <v>1552.4382977176599</v>
      </c>
      <c r="C571" s="12">
        <v>566.85822982606396</v>
      </c>
      <c r="D571" s="8">
        <v>1.45347605900856</v>
      </c>
      <c r="E571" s="12">
        <v>5.5112430473255901E-4</v>
      </c>
      <c r="F571" s="8" t="s">
        <v>4361</v>
      </c>
      <c r="G571" s="12" t="s">
        <v>406</v>
      </c>
      <c r="H571" s="12">
        <v>1</v>
      </c>
      <c r="I571" s="13" t="str">
        <f>HYPERLINK("http://www.ncbi.nlm.nih.gov/gene/57181", "57181")</f>
        <v>57181</v>
      </c>
      <c r="J571" s="12" t="s">
        <v>13206</v>
      </c>
      <c r="K571" s="12" t="s">
        <v>13207</v>
      </c>
      <c r="L571" s="13" t="str">
        <f>HYPERLINK("http://asia.ensembl.org/Homo_sapiens/Gene/Summary?g=ENSG00000196950", "ENSG00000196950")</f>
        <v>ENSG00000196950</v>
      </c>
      <c r="M571" s="12" t="s">
        <v>13208</v>
      </c>
      <c r="N571" s="12" t="s">
        <v>13209</v>
      </c>
    </row>
    <row r="572" spans="1:14">
      <c r="A572" s="12" t="s">
        <v>11169</v>
      </c>
      <c r="B572" s="8">
        <v>1365.0548283651799</v>
      </c>
      <c r="C572" s="12">
        <v>498.86084321541398</v>
      </c>
      <c r="D572" s="8">
        <v>1.45224956083902</v>
      </c>
      <c r="E572" s="12">
        <v>4.9689392430791998E-2</v>
      </c>
      <c r="F572" s="8" t="s">
        <v>38</v>
      </c>
      <c r="G572" s="12" t="s">
        <v>38</v>
      </c>
      <c r="H572" s="12">
        <v>1</v>
      </c>
      <c r="I572" s="12" t="s">
        <v>38</v>
      </c>
      <c r="J572" s="12" t="s">
        <v>38</v>
      </c>
      <c r="K572" s="12" t="s">
        <v>38</v>
      </c>
      <c r="L572" s="13" t="str">
        <f>HYPERLINK("http://asia.ensembl.org/Homo_sapiens/Gene/Summary?g=ENSG00000177842", "ENSG00000177842")</f>
        <v>ENSG00000177842</v>
      </c>
      <c r="M572" s="12" t="s">
        <v>11170</v>
      </c>
      <c r="N572" s="12" t="s">
        <v>16016</v>
      </c>
    </row>
    <row r="573" spans="1:14">
      <c r="A573" s="12" t="s">
        <v>5734</v>
      </c>
      <c r="B573" s="8">
        <v>949.40968305058595</v>
      </c>
      <c r="C573" s="12">
        <v>347.17435348239297</v>
      </c>
      <c r="D573" s="8">
        <v>1.4513703871941901</v>
      </c>
      <c r="E573" s="12">
        <v>7.3690998386106302E-3</v>
      </c>
      <c r="F573" s="8" t="s">
        <v>5735</v>
      </c>
      <c r="G573" s="12" t="s">
        <v>5736</v>
      </c>
      <c r="H573" s="12">
        <v>1</v>
      </c>
      <c r="I573" s="13" t="str">
        <f>HYPERLINK("http://www.ncbi.nlm.nih.gov/gene/137695", "137695")</f>
        <v>137695</v>
      </c>
      <c r="J573" s="13" t="str">
        <f>HYPERLINK("http://www.ncbi.nlm.nih.gov/nuccore/NM_152417", "NM_152417")</f>
        <v>NM_152417</v>
      </c>
      <c r="K573" s="12" t="s">
        <v>5737</v>
      </c>
      <c r="L573" s="13" t="str">
        <f>HYPERLINK("http://asia.ensembl.org/Homo_sapiens/Gene/Summary?g=ENSG00000167904", "ENSG00000167904")</f>
        <v>ENSG00000167904</v>
      </c>
      <c r="M573" s="12" t="s">
        <v>13899</v>
      </c>
      <c r="N573" s="12" t="s">
        <v>13900</v>
      </c>
    </row>
    <row r="574" spans="1:14">
      <c r="A574" s="12" t="s">
        <v>1030</v>
      </c>
      <c r="B574" s="8">
        <v>486.46519344907603</v>
      </c>
      <c r="C574" s="12">
        <v>178.006126797126</v>
      </c>
      <c r="D574" s="8">
        <v>1.45040968576745</v>
      </c>
      <c r="E574" s="12">
        <v>4.37141751817261E-4</v>
      </c>
      <c r="F574" s="8" t="s">
        <v>1031</v>
      </c>
      <c r="G574" s="12" t="s">
        <v>1032</v>
      </c>
      <c r="H574" s="12">
        <v>1</v>
      </c>
      <c r="I574" s="13" t="str">
        <f>HYPERLINK("http://www.ncbi.nlm.nih.gov/gene/54602", "54602")</f>
        <v>54602</v>
      </c>
      <c r="J574" s="12" t="s">
        <v>12204</v>
      </c>
      <c r="K574" s="12" t="s">
        <v>12205</v>
      </c>
      <c r="L574" s="13" t="str">
        <f>HYPERLINK("http://asia.ensembl.org/Homo_sapiens/Gene/Summary?g=ENSG00000102471", "ENSG00000102471")</f>
        <v>ENSG00000102471</v>
      </c>
      <c r="M574" s="12" t="s">
        <v>12206</v>
      </c>
      <c r="N574" s="12" t="s">
        <v>12207</v>
      </c>
    </row>
    <row r="575" spans="1:14">
      <c r="A575" s="12" t="s">
        <v>6424</v>
      </c>
      <c r="B575" s="8">
        <v>371.07527312121101</v>
      </c>
      <c r="C575" s="12">
        <v>135.87900116068201</v>
      </c>
      <c r="D575" s="8">
        <v>1.44938935097943</v>
      </c>
      <c r="E575" s="12">
        <v>1.2272728517549601E-2</v>
      </c>
      <c r="F575" s="8" t="s">
        <v>6425</v>
      </c>
      <c r="G575" s="12" t="s">
        <v>6426</v>
      </c>
      <c r="H575" s="12">
        <v>1</v>
      </c>
      <c r="I575" s="13" t="str">
        <f>HYPERLINK("http://www.ncbi.nlm.nih.gov/gene/197259", "197259")</f>
        <v>197259</v>
      </c>
      <c r="J575" s="13" t="str">
        <f>HYPERLINK("http://www.ncbi.nlm.nih.gov/nuccore/NM_152649", "NM_152649")</f>
        <v>NM_152649</v>
      </c>
      <c r="K575" s="12" t="s">
        <v>6427</v>
      </c>
      <c r="L575" s="13" t="str">
        <f>HYPERLINK("http://asia.ensembl.org/Homo_sapiens/Gene/Summary?g=ENSG00000168404", "ENSG00000168404")</f>
        <v>ENSG00000168404</v>
      </c>
      <c r="M575" s="12" t="s">
        <v>14176</v>
      </c>
      <c r="N575" s="12" t="s">
        <v>14177</v>
      </c>
    </row>
    <row r="576" spans="1:14">
      <c r="A576" s="12" t="s">
        <v>9855</v>
      </c>
      <c r="B576" s="8">
        <v>207.77801956966599</v>
      </c>
      <c r="C576" s="12">
        <v>76.100149507863406</v>
      </c>
      <c r="D576" s="8">
        <v>1.4490718492358301</v>
      </c>
      <c r="E576" s="12">
        <v>1.6159535272109601E-2</v>
      </c>
      <c r="F576" s="8" t="s">
        <v>9856</v>
      </c>
      <c r="G576" s="12" t="s">
        <v>15203</v>
      </c>
      <c r="H576" s="12">
        <v>4</v>
      </c>
      <c r="I576" s="12" t="s">
        <v>9857</v>
      </c>
      <c r="J576" s="12" t="s">
        <v>9858</v>
      </c>
      <c r="K576" s="12" t="s">
        <v>9859</v>
      </c>
      <c r="L576" s="12" t="s">
        <v>7650</v>
      </c>
      <c r="M576" s="12" t="s">
        <v>15204</v>
      </c>
      <c r="N576" s="12" t="s">
        <v>15205</v>
      </c>
    </row>
    <row r="577" spans="1:14">
      <c r="A577" s="12" t="s">
        <v>2333</v>
      </c>
      <c r="B577" s="8">
        <v>529.52004429333999</v>
      </c>
      <c r="C577" s="12">
        <v>193.944900712589</v>
      </c>
      <c r="D577" s="8">
        <v>1.44903845222297</v>
      </c>
      <c r="E577" s="12">
        <v>1.5195222272771299E-4</v>
      </c>
      <c r="F577" s="8" t="s">
        <v>2334</v>
      </c>
      <c r="G577" s="12" t="s">
        <v>2335</v>
      </c>
      <c r="H577" s="12">
        <v>1</v>
      </c>
      <c r="I577" s="13" t="str">
        <f>HYPERLINK("http://www.ncbi.nlm.nih.gov/gene/254065", "254065")</f>
        <v>254065</v>
      </c>
      <c r="J577" s="13" t="str">
        <f>HYPERLINK("http://www.ncbi.nlm.nih.gov/nuccore/NM_153252", "NM_153252")</f>
        <v>NM_153252</v>
      </c>
      <c r="K577" s="12" t="s">
        <v>2336</v>
      </c>
      <c r="L577" s="13" t="str">
        <f>HYPERLINK("http://asia.ensembl.org/Homo_sapiens/Gene/Summary?g=ENSG00000165288", "ENSG00000165288")</f>
        <v>ENSG00000165288</v>
      </c>
      <c r="M577" s="12" t="s">
        <v>12604</v>
      </c>
      <c r="N577" s="12" t="s">
        <v>2337</v>
      </c>
    </row>
    <row r="578" spans="1:14">
      <c r="A578" s="12" t="s">
        <v>2665</v>
      </c>
      <c r="B578" s="8">
        <v>1907.5335586651099</v>
      </c>
      <c r="C578" s="12">
        <v>699.01689397662801</v>
      </c>
      <c r="D578" s="8">
        <v>1.4483092097138901</v>
      </c>
      <c r="E578" s="12">
        <v>6.2571020449228602E-3</v>
      </c>
      <c r="F578" s="8" t="s">
        <v>2666</v>
      </c>
      <c r="G578" s="12" t="s">
        <v>12736</v>
      </c>
      <c r="H578" s="12">
        <v>1</v>
      </c>
      <c r="I578" s="13" t="str">
        <f>HYPERLINK("http://www.ncbi.nlm.nih.gov/gene/9646", "9646")</f>
        <v>9646</v>
      </c>
      <c r="J578" s="13" t="str">
        <f>HYPERLINK("http://www.ncbi.nlm.nih.gov/nuccore/NM_014633", "NM_014633")</f>
        <v>NM_014633</v>
      </c>
      <c r="K578" s="12" t="s">
        <v>2667</v>
      </c>
      <c r="L578" s="13" t="str">
        <f>HYPERLINK("http://asia.ensembl.org/Homo_sapiens/Gene/Summary?g=ENSG00000198730", "ENSG00000198730")</f>
        <v>ENSG00000198730</v>
      </c>
      <c r="M578" s="12" t="s">
        <v>12737</v>
      </c>
      <c r="N578" s="12" t="s">
        <v>12738</v>
      </c>
    </row>
    <row r="579" spans="1:14">
      <c r="A579" s="12" t="s">
        <v>435</v>
      </c>
      <c r="B579" s="8">
        <v>934.79510091310704</v>
      </c>
      <c r="C579" s="12">
        <v>342.58362880890201</v>
      </c>
      <c r="D579" s="8">
        <v>1.4481939628635101</v>
      </c>
      <c r="E579" s="12">
        <v>1.0444940225412499E-2</v>
      </c>
      <c r="F579" s="8" t="s">
        <v>436</v>
      </c>
      <c r="G579" s="12" t="s">
        <v>437</v>
      </c>
      <c r="H579" s="12">
        <v>1</v>
      </c>
      <c r="I579" s="13" t="str">
        <f>HYPERLINK("http://www.ncbi.nlm.nih.gov/gene/115209", "115209")</f>
        <v>115209</v>
      </c>
      <c r="J579" s="13" t="str">
        <f>HYPERLINK("http://www.ncbi.nlm.nih.gov/nuccore/NM_145243", "NM_145243")</f>
        <v>NM_145243</v>
      </c>
      <c r="K579" s="12" t="s">
        <v>438</v>
      </c>
      <c r="L579" s="13" t="str">
        <f>HYPERLINK("http://asia.ensembl.org/Homo_sapiens/Gene/Summary?g=ENSG00000162600", "ENSG00000162600")</f>
        <v>ENSG00000162600</v>
      </c>
      <c r="M579" s="12" t="s">
        <v>11979</v>
      </c>
      <c r="N579" s="12" t="s">
        <v>11980</v>
      </c>
    </row>
    <row r="580" spans="1:14">
      <c r="A580" s="12" t="s">
        <v>814</v>
      </c>
      <c r="B580" s="8">
        <v>389.365678880225</v>
      </c>
      <c r="C580" s="12">
        <v>142.71886360401501</v>
      </c>
      <c r="D580" s="8">
        <v>1.4479496885349099</v>
      </c>
      <c r="E580" s="12">
        <v>1.88771804987115E-2</v>
      </c>
      <c r="F580" s="8" t="s">
        <v>815</v>
      </c>
      <c r="G580" s="12" t="s">
        <v>816</v>
      </c>
      <c r="H580" s="12">
        <v>1</v>
      </c>
      <c r="I580" s="13" t="str">
        <f>HYPERLINK("http://www.ncbi.nlm.nih.gov/gene/64131", "64131")</f>
        <v>64131</v>
      </c>
      <c r="J580" s="13" t="str">
        <f>HYPERLINK("http://www.ncbi.nlm.nih.gov/nuccore/NM_022166", "NM_022166")</f>
        <v>NM_022166</v>
      </c>
      <c r="K580" s="12" t="s">
        <v>817</v>
      </c>
      <c r="L580" s="13" t="str">
        <f>HYPERLINK("http://asia.ensembl.org/Homo_sapiens/Gene/Summary?g=ENSG00000103489", "ENSG00000103489")</f>
        <v>ENSG00000103489</v>
      </c>
      <c r="M580" s="12" t="s">
        <v>12126</v>
      </c>
      <c r="N580" s="12" t="s">
        <v>818</v>
      </c>
    </row>
    <row r="581" spans="1:14">
      <c r="A581" s="12" t="s">
        <v>11260</v>
      </c>
      <c r="B581" s="8">
        <v>2536.6438525879698</v>
      </c>
      <c r="C581" s="12">
        <v>929.90767315637697</v>
      </c>
      <c r="D581" s="8">
        <v>1.4477615887722699</v>
      </c>
      <c r="E581" s="12">
        <v>7.2174681607194901E-3</v>
      </c>
      <c r="F581" s="8" t="s">
        <v>807</v>
      </c>
      <c r="G581" s="12" t="s">
        <v>808</v>
      </c>
      <c r="H581" s="12">
        <v>1</v>
      </c>
      <c r="I581" s="13" t="str">
        <f>HYPERLINK("http://www.ncbi.nlm.nih.gov/gene/51193", "51193")</f>
        <v>51193</v>
      </c>
      <c r="J581" s="13" t="str">
        <f>HYPERLINK("http://www.ncbi.nlm.nih.gov/nuccore/NM_016331", "NM_016331")</f>
        <v>NM_016331</v>
      </c>
      <c r="K581" s="12" t="s">
        <v>809</v>
      </c>
      <c r="L581" s="13" t="str">
        <f>HYPERLINK("http://asia.ensembl.org/Homo_sapiens/Gene/Summary?g=ENSG00000121864", "ENSG00000121864")</f>
        <v>ENSG00000121864</v>
      </c>
      <c r="M581" s="12" t="s">
        <v>16072</v>
      </c>
      <c r="N581" s="12" t="s">
        <v>16073</v>
      </c>
    </row>
    <row r="582" spans="1:14">
      <c r="A582" s="12" t="s">
        <v>8725</v>
      </c>
      <c r="B582" s="8">
        <v>1865.64495939535</v>
      </c>
      <c r="C582" s="12">
        <v>683.98367425539902</v>
      </c>
      <c r="D582" s="8">
        <v>1.4476406654737699</v>
      </c>
      <c r="E582" s="12">
        <v>7.5871324008520303E-3</v>
      </c>
      <c r="F582" s="8" t="s">
        <v>8726</v>
      </c>
      <c r="G582" s="12" t="s">
        <v>104</v>
      </c>
      <c r="H582" s="12">
        <v>1</v>
      </c>
      <c r="I582" s="13" t="str">
        <f>HYPERLINK("http://www.ncbi.nlm.nih.gov/gene/10622", "10622")</f>
        <v>10622</v>
      </c>
      <c r="J582" s="13" t="str">
        <f>HYPERLINK("http://www.ncbi.nlm.nih.gov/nuccore/NM_006467", "NM_006467")</f>
        <v>NM_006467</v>
      </c>
      <c r="K582" s="12" t="s">
        <v>8727</v>
      </c>
      <c r="L582" s="13" t="str">
        <f>HYPERLINK("http://asia.ensembl.org/Homo_sapiens/Gene/Summary?g=ENSG00000113356", "ENSG00000113356")</f>
        <v>ENSG00000113356</v>
      </c>
      <c r="M582" s="12" t="s">
        <v>14839</v>
      </c>
      <c r="N582" s="12" t="s">
        <v>14840</v>
      </c>
    </row>
    <row r="583" spans="1:14">
      <c r="A583" s="12" t="s">
        <v>4792</v>
      </c>
      <c r="B583" s="8">
        <v>2496.5815181586599</v>
      </c>
      <c r="C583" s="12">
        <v>915.708601394732</v>
      </c>
      <c r="D583" s="8">
        <v>1.44699353499509</v>
      </c>
      <c r="E583" s="12">
        <v>1.1417739683176499E-2</v>
      </c>
      <c r="F583" s="8" t="s">
        <v>4793</v>
      </c>
      <c r="G583" s="12" t="s">
        <v>4794</v>
      </c>
      <c r="H583" s="12">
        <v>1</v>
      </c>
      <c r="I583" s="13" t="str">
        <f>HYPERLINK("http://www.ncbi.nlm.nih.gov/gene/90488", "90488")</f>
        <v>90488</v>
      </c>
      <c r="J583" s="13" t="str">
        <f>HYPERLINK("http://www.ncbi.nlm.nih.gov/nuccore/NM_152261", "NM_152261")</f>
        <v>NM_152261</v>
      </c>
      <c r="K583" s="12" t="s">
        <v>4795</v>
      </c>
      <c r="L583" s="13" t="str">
        <f>HYPERLINK("http://asia.ensembl.org/Homo_sapiens/Gene/Summary?g=ENSG00000151135", "ENSG00000151135")</f>
        <v>ENSG00000151135</v>
      </c>
      <c r="M583" s="12" t="s">
        <v>13391</v>
      </c>
      <c r="N583" s="12" t="s">
        <v>13392</v>
      </c>
    </row>
    <row r="584" spans="1:14">
      <c r="A584" s="12" t="s">
        <v>11291</v>
      </c>
      <c r="B584" s="8">
        <v>163.990248642685</v>
      </c>
      <c r="C584" s="12">
        <v>60.162450681047503</v>
      </c>
      <c r="D584" s="8">
        <v>1.4466747897379999</v>
      </c>
      <c r="E584" s="12">
        <v>1.1029000257907001E-3</v>
      </c>
      <c r="F584" s="8" t="s">
        <v>4848</v>
      </c>
      <c r="G584" s="12" t="s">
        <v>4849</v>
      </c>
      <c r="H584" s="12">
        <v>1</v>
      </c>
      <c r="I584" s="13" t="str">
        <f>HYPERLINK("http://www.ncbi.nlm.nih.gov/gene/5357", "5357")</f>
        <v>5357</v>
      </c>
      <c r="J584" s="12" t="s">
        <v>13425</v>
      </c>
      <c r="K584" s="12" t="s">
        <v>13426</v>
      </c>
      <c r="L584" s="13" t="str">
        <f>HYPERLINK("http://asia.ensembl.org/Homo_sapiens/Gene/Summary?g=ENSG00000120756", "ENSG00000120756")</f>
        <v>ENSG00000120756</v>
      </c>
      <c r="M584" s="12" t="s">
        <v>13427</v>
      </c>
      <c r="N584" s="12" t="s">
        <v>13428</v>
      </c>
    </row>
    <row r="585" spans="1:14">
      <c r="A585" s="12" t="s">
        <v>1775</v>
      </c>
      <c r="B585" s="8">
        <v>144.04994450563299</v>
      </c>
      <c r="C585" s="12">
        <v>52.890829468656698</v>
      </c>
      <c r="D585" s="8">
        <v>1.4454795987497799</v>
      </c>
      <c r="E585" s="12">
        <v>2.0461249265443602E-3</v>
      </c>
      <c r="F585" s="8" t="s">
        <v>1776</v>
      </c>
      <c r="G585" s="12" t="s">
        <v>1777</v>
      </c>
      <c r="H585" s="12">
        <v>1</v>
      </c>
      <c r="I585" s="13" t="str">
        <f>HYPERLINK("http://www.ncbi.nlm.nih.gov/gene/134957", "134957")</f>
        <v>134957</v>
      </c>
      <c r="J585" s="12" t="s">
        <v>12408</v>
      </c>
      <c r="K585" s="12" t="s">
        <v>12409</v>
      </c>
      <c r="L585" s="13" t="str">
        <f>HYPERLINK("http://asia.ensembl.org/Homo_sapiens/Gene/Summary?g=ENSG00000164506", "ENSG00000164506")</f>
        <v>ENSG00000164506</v>
      </c>
      <c r="M585" s="12" t="s">
        <v>12410</v>
      </c>
      <c r="N585" s="12" t="s">
        <v>12411</v>
      </c>
    </row>
    <row r="586" spans="1:14">
      <c r="A586" s="12" t="s">
        <v>10759</v>
      </c>
      <c r="B586" s="8">
        <v>1202.6635760758099</v>
      </c>
      <c r="C586" s="12">
        <v>441.94135754190302</v>
      </c>
      <c r="D586" s="8">
        <v>1.44430627834282</v>
      </c>
      <c r="E586" s="12">
        <v>2.1459313204096699E-3</v>
      </c>
      <c r="F586" s="8" t="s">
        <v>2384</v>
      </c>
      <c r="G586" s="12" t="s">
        <v>2385</v>
      </c>
      <c r="H586" s="12">
        <v>1</v>
      </c>
      <c r="I586" s="13" t="str">
        <f>HYPERLINK("http://www.ncbi.nlm.nih.gov/gene/57539", "57539")</f>
        <v>57539</v>
      </c>
      <c r="J586" s="12" t="s">
        <v>15830</v>
      </c>
      <c r="K586" s="12" t="s">
        <v>15831</v>
      </c>
      <c r="L586" s="13" t="str">
        <f>HYPERLINK("http://asia.ensembl.org/Homo_sapiens/Gene/Summary?g=ENSG00000118965", "ENSG00000118965")</f>
        <v>ENSG00000118965</v>
      </c>
      <c r="M586" s="12" t="s">
        <v>15832</v>
      </c>
      <c r="N586" s="12" t="s">
        <v>15833</v>
      </c>
    </row>
    <row r="587" spans="1:14">
      <c r="A587" s="12" t="s">
        <v>7718</v>
      </c>
      <c r="B587" s="8">
        <v>919.30116098125995</v>
      </c>
      <c r="C587" s="12">
        <v>337.81851836582001</v>
      </c>
      <c r="D587" s="8">
        <v>1.44428914734012</v>
      </c>
      <c r="E587" s="12">
        <v>2.13938633027574E-3</v>
      </c>
      <c r="F587" s="8" t="s">
        <v>7719</v>
      </c>
      <c r="G587" s="12" t="s">
        <v>7720</v>
      </c>
      <c r="H587" s="12">
        <v>1</v>
      </c>
      <c r="I587" s="13" t="str">
        <f>HYPERLINK("http://www.ncbi.nlm.nih.gov/gene/130106", "130106")</f>
        <v>130106</v>
      </c>
      <c r="J587" s="13" t="str">
        <f>HYPERLINK("http://www.ncbi.nlm.nih.gov/nuccore/NM_001029881", "NM_001029881")</f>
        <v>NM_001029881</v>
      </c>
      <c r="K587" s="12" t="s">
        <v>7721</v>
      </c>
      <c r="L587" s="13" t="str">
        <f>HYPERLINK("http://asia.ensembl.org/Homo_sapiens/Gene/Summary?g=ENSG00000157884", "ENSG00000157884")</f>
        <v>ENSG00000157884</v>
      </c>
      <c r="M587" s="12" t="s">
        <v>14517</v>
      </c>
      <c r="N587" s="12" t="s">
        <v>7722</v>
      </c>
    </row>
    <row r="588" spans="1:14">
      <c r="A588" s="12" t="s">
        <v>8829</v>
      </c>
      <c r="B588" s="8">
        <v>640.53885488111598</v>
      </c>
      <c r="C588" s="12">
        <v>235.46239001485699</v>
      </c>
      <c r="D588" s="8">
        <v>1.4437894474897099</v>
      </c>
      <c r="E588" s="12">
        <v>2.87331055763253E-3</v>
      </c>
      <c r="F588" s="8" t="s">
        <v>2624</v>
      </c>
      <c r="G588" s="12" t="s">
        <v>2625</v>
      </c>
      <c r="H588" s="12">
        <v>1</v>
      </c>
      <c r="I588" s="13" t="str">
        <f>HYPERLINK("http://www.ncbi.nlm.nih.gov/gene/5817", "5817")</f>
        <v>5817</v>
      </c>
      <c r="J588" s="12" t="s">
        <v>14915</v>
      </c>
      <c r="K588" s="12" t="s">
        <v>14916</v>
      </c>
      <c r="L588" s="13" t="str">
        <f>HYPERLINK("http://asia.ensembl.org/Homo_sapiens/Gene/Summary?g=ENSG00000073008", "ENSG00000073008")</f>
        <v>ENSG00000073008</v>
      </c>
      <c r="M588" s="12" t="s">
        <v>14917</v>
      </c>
      <c r="N588" s="12" t="s">
        <v>14918</v>
      </c>
    </row>
    <row r="589" spans="1:14">
      <c r="A589" s="12" t="s">
        <v>10511</v>
      </c>
      <c r="B589" s="8">
        <v>1635.15094965191</v>
      </c>
      <c r="C589" s="12">
        <v>601.43278217819</v>
      </c>
      <c r="D589" s="8">
        <v>1.4429484130122401</v>
      </c>
      <c r="E589" s="12">
        <v>1.4121080259384499E-2</v>
      </c>
      <c r="F589" s="8" t="s">
        <v>7293</v>
      </c>
      <c r="G589" s="12" t="s">
        <v>7294</v>
      </c>
      <c r="H589" s="12">
        <v>1</v>
      </c>
      <c r="I589" s="13" t="str">
        <f>HYPERLINK("http://www.ncbi.nlm.nih.gov/gene/167227", "167227")</f>
        <v>167227</v>
      </c>
      <c r="J589" s="12" t="s">
        <v>15504</v>
      </c>
      <c r="K589" s="12" t="s">
        <v>15505</v>
      </c>
      <c r="L589" s="13" t="str">
        <f>HYPERLINK("http://asia.ensembl.org/Homo_sapiens/Gene/Summary?g=ENSG00000172795", "ENSG00000172795")</f>
        <v>ENSG00000172795</v>
      </c>
      <c r="M589" s="12" t="s">
        <v>15506</v>
      </c>
      <c r="N589" s="12" t="s">
        <v>15507</v>
      </c>
    </row>
    <row r="590" spans="1:14">
      <c r="A590" s="12" t="s">
        <v>10620</v>
      </c>
      <c r="B590" s="8">
        <v>2547.1905563689602</v>
      </c>
      <c r="C590" s="12">
        <v>937.52947290665304</v>
      </c>
      <c r="D590" s="8">
        <v>1.4419709422501099</v>
      </c>
      <c r="E590" s="12">
        <v>1.9010768476241301E-2</v>
      </c>
      <c r="F590" s="8" t="s">
        <v>6956</v>
      </c>
      <c r="G590" s="12" t="s">
        <v>6957</v>
      </c>
      <c r="H590" s="12">
        <v>1</v>
      </c>
      <c r="I590" s="13" t="str">
        <f>HYPERLINK("http://www.ncbi.nlm.nih.gov/gene/10123", "10123")</f>
        <v>10123</v>
      </c>
      <c r="J590" s="13" t="str">
        <f>HYPERLINK("http://www.ncbi.nlm.nih.gov/nuccore/NM_005737", "NM_005737")</f>
        <v>NM_005737</v>
      </c>
      <c r="K590" s="12" t="s">
        <v>6958</v>
      </c>
      <c r="L590" s="13" t="str">
        <f>HYPERLINK("http://asia.ensembl.org/Homo_sapiens/Gene/Summary?g=ENSG00000188042", "ENSG00000188042")</f>
        <v>ENSG00000188042</v>
      </c>
      <c r="M590" s="12" t="s">
        <v>15646</v>
      </c>
      <c r="N590" s="12" t="s">
        <v>15647</v>
      </c>
    </row>
    <row r="591" spans="1:14">
      <c r="A591" s="12" t="s">
        <v>10565</v>
      </c>
      <c r="B591" s="8">
        <v>1677.17369983257</v>
      </c>
      <c r="C591" s="12">
        <v>618.62784937147501</v>
      </c>
      <c r="D591" s="8">
        <v>1.4388884250162399</v>
      </c>
      <c r="E591" s="12">
        <v>1.41432500001861E-3</v>
      </c>
      <c r="F591" s="8" t="s">
        <v>5148</v>
      </c>
      <c r="G591" s="12" t="s">
        <v>13609</v>
      </c>
      <c r="H591" s="12">
        <v>1</v>
      </c>
      <c r="I591" s="13" t="str">
        <f>HYPERLINK("http://www.ncbi.nlm.nih.gov/gene/55294", "55294")</f>
        <v>55294</v>
      </c>
      <c r="J591" s="12" t="s">
        <v>13610</v>
      </c>
      <c r="K591" s="12" t="s">
        <v>13611</v>
      </c>
      <c r="L591" s="13" t="str">
        <f>HYPERLINK("http://asia.ensembl.org/Homo_sapiens/Gene/Summary?g=ENSG00000109670", "ENSG00000109670")</f>
        <v>ENSG00000109670</v>
      </c>
      <c r="M591" s="12" t="s">
        <v>13612</v>
      </c>
      <c r="N591" s="12" t="s">
        <v>13613</v>
      </c>
    </row>
    <row r="592" spans="1:14">
      <c r="A592" s="12" t="s">
        <v>7466</v>
      </c>
      <c r="B592" s="8">
        <v>512.77526516600005</v>
      </c>
      <c r="C592" s="12">
        <v>189.177970120353</v>
      </c>
      <c r="D592" s="8">
        <v>1.43858257627111</v>
      </c>
      <c r="E592" s="12">
        <v>1.9791295475537301E-2</v>
      </c>
      <c r="F592" s="8" t="s">
        <v>1212</v>
      </c>
      <c r="G592" s="12" t="s">
        <v>12261</v>
      </c>
      <c r="H592" s="12">
        <v>1</v>
      </c>
      <c r="I592" s="13" t="str">
        <f>HYPERLINK("http://www.ncbi.nlm.nih.gov/gene/6579", "6579")</f>
        <v>6579</v>
      </c>
      <c r="J592" s="12" t="s">
        <v>12262</v>
      </c>
      <c r="K592" s="12" t="s">
        <v>12263</v>
      </c>
      <c r="L592" s="13" t="str">
        <f>HYPERLINK("http://asia.ensembl.org/Homo_sapiens/Gene/Summary?g=ENSG00000084453", "ENSG00000084453")</f>
        <v>ENSG00000084453</v>
      </c>
      <c r="M592" s="12" t="s">
        <v>12264</v>
      </c>
      <c r="N592" s="12" t="s">
        <v>12265</v>
      </c>
    </row>
    <row r="593" spans="1:14">
      <c r="A593" s="12" t="s">
        <v>10677</v>
      </c>
      <c r="B593" s="8">
        <v>44100.266375477899</v>
      </c>
      <c r="C593" s="12">
        <v>16270.4682227128</v>
      </c>
      <c r="D593" s="8">
        <v>1.4385316013065099</v>
      </c>
      <c r="E593" s="12">
        <v>7.1006627055788503E-3</v>
      </c>
      <c r="F593" s="8" t="s">
        <v>6730</v>
      </c>
      <c r="G593" s="12" t="s">
        <v>456</v>
      </c>
      <c r="H593" s="12">
        <v>1</v>
      </c>
      <c r="I593" s="13" t="str">
        <f>HYPERLINK("http://www.ncbi.nlm.nih.gov/gene/1654", "1654")</f>
        <v>1654</v>
      </c>
      <c r="J593" s="12" t="s">
        <v>15698</v>
      </c>
      <c r="K593" s="12" t="s">
        <v>15699</v>
      </c>
      <c r="L593" s="13" t="str">
        <f>HYPERLINK("http://asia.ensembl.org/Homo_sapiens/Gene/Summary?g=ENSG00000215301", "ENSG00000215301")</f>
        <v>ENSG00000215301</v>
      </c>
      <c r="M593" s="12" t="s">
        <v>15700</v>
      </c>
      <c r="N593" s="12" t="s">
        <v>15701</v>
      </c>
    </row>
    <row r="594" spans="1:14">
      <c r="A594" s="12" t="s">
        <v>2766</v>
      </c>
      <c r="B594" s="8">
        <v>1366.10982576381</v>
      </c>
      <c r="C594" s="12">
        <v>504.25674185273198</v>
      </c>
      <c r="D594" s="8">
        <v>1.4378430982336601</v>
      </c>
      <c r="E594" s="12">
        <v>8.05127040289989E-4</v>
      </c>
      <c r="F594" s="8" t="s">
        <v>2767</v>
      </c>
      <c r="G594" s="12" t="s">
        <v>2768</v>
      </c>
      <c r="H594" s="12">
        <v>1</v>
      </c>
      <c r="I594" s="13" t="str">
        <f>HYPERLINK("http://www.ncbi.nlm.nih.gov/gene/123283", "123283")</f>
        <v>123283</v>
      </c>
      <c r="J594" s="13" t="str">
        <f>HYPERLINK("http://www.ncbi.nlm.nih.gov/nuccore/NM_152334", "NM_152334")</f>
        <v>NM_152334</v>
      </c>
      <c r="K594" s="12" t="s">
        <v>2769</v>
      </c>
      <c r="L594" s="13" t="str">
        <f>HYPERLINK("http://asia.ensembl.org/Homo_sapiens/Gene/Summary?g=ENSG00000185418", "ENSG00000185418")</f>
        <v>ENSG00000185418</v>
      </c>
      <c r="M594" s="12" t="s">
        <v>12776</v>
      </c>
      <c r="N594" s="12" t="s">
        <v>12777</v>
      </c>
    </row>
    <row r="595" spans="1:14">
      <c r="A595" s="12" t="s">
        <v>8693</v>
      </c>
      <c r="B595" s="8">
        <v>3378.8827851043902</v>
      </c>
      <c r="C595" s="12">
        <v>1248.0518537133901</v>
      </c>
      <c r="D595" s="8">
        <v>1.4368684275188199</v>
      </c>
      <c r="E595" s="12">
        <v>4.9599399434548802E-3</v>
      </c>
      <c r="F595" s="8" t="s">
        <v>4580</v>
      </c>
      <c r="G595" s="12" t="s">
        <v>13294</v>
      </c>
      <c r="H595" s="12">
        <v>1</v>
      </c>
      <c r="I595" s="13" t="str">
        <f>HYPERLINK("http://www.ncbi.nlm.nih.gov/gene/81539", "81539")</f>
        <v>81539</v>
      </c>
      <c r="J595" s="12" t="s">
        <v>13295</v>
      </c>
      <c r="K595" s="12" t="s">
        <v>13296</v>
      </c>
      <c r="L595" s="13" t="str">
        <f>HYPERLINK("http://asia.ensembl.org/Homo_sapiens/Gene/Summary?g=ENSG00000111371", "ENSG00000111371")</f>
        <v>ENSG00000111371</v>
      </c>
      <c r="M595" s="12" t="s">
        <v>13297</v>
      </c>
      <c r="N595" s="12" t="s">
        <v>13298</v>
      </c>
    </row>
    <row r="596" spans="1:14">
      <c r="A596" s="12" t="s">
        <v>1255</v>
      </c>
      <c r="B596" s="8">
        <v>172.21211852297799</v>
      </c>
      <c r="C596" s="12">
        <v>63.681760186661499</v>
      </c>
      <c r="D596" s="8">
        <v>1.4352345502370401</v>
      </c>
      <c r="E596" s="12">
        <v>2.8006915552925699E-2</v>
      </c>
      <c r="F596" s="8" t="s">
        <v>1256</v>
      </c>
      <c r="G596" s="12" t="s">
        <v>1257</v>
      </c>
      <c r="H596" s="12">
        <v>1</v>
      </c>
      <c r="I596" s="13" t="str">
        <f>HYPERLINK("http://www.ncbi.nlm.nih.gov/gene/5753", "5753")</f>
        <v>5753</v>
      </c>
      <c r="J596" s="12" t="s">
        <v>12280</v>
      </c>
      <c r="K596" s="12" t="s">
        <v>12281</v>
      </c>
      <c r="L596" s="13" t="str">
        <f>HYPERLINK("http://asia.ensembl.org/Homo_sapiens/Gene/Summary?g=ENSG00000101213", "ENSG00000101213")</f>
        <v>ENSG00000101213</v>
      </c>
      <c r="M596" s="12" t="s">
        <v>12282</v>
      </c>
      <c r="N596" s="12" t="s">
        <v>12283</v>
      </c>
    </row>
    <row r="597" spans="1:14">
      <c r="A597" s="12" t="s">
        <v>2868</v>
      </c>
      <c r="B597" s="8">
        <v>542.50486473419903</v>
      </c>
      <c r="C597" s="12">
        <v>201.13046536578901</v>
      </c>
      <c r="D597" s="8">
        <v>1.4315044503335499</v>
      </c>
      <c r="E597" s="12">
        <v>1.2072580669803001E-2</v>
      </c>
      <c r="F597" s="8" t="s">
        <v>2869</v>
      </c>
      <c r="G597" s="12" t="s">
        <v>2870</v>
      </c>
      <c r="H597" s="12">
        <v>1</v>
      </c>
      <c r="I597" s="13" t="str">
        <f>HYPERLINK("http://www.ncbi.nlm.nih.gov/gene/10404", "10404")</f>
        <v>10404</v>
      </c>
      <c r="J597" s="13" t="str">
        <f>HYPERLINK("http://www.ncbi.nlm.nih.gov/nuccore/NM_016134", "NM_016134")</f>
        <v>NM_016134</v>
      </c>
      <c r="K597" s="12" t="s">
        <v>2871</v>
      </c>
      <c r="L597" s="13" t="str">
        <f>HYPERLINK("http://asia.ensembl.org/Homo_sapiens/Gene/Summary?g=ENSG00000104324", "ENSG00000104324")</f>
        <v>ENSG00000104324</v>
      </c>
      <c r="M597" s="12" t="s">
        <v>12818</v>
      </c>
      <c r="N597" s="12" t="s">
        <v>12819</v>
      </c>
    </row>
    <row r="598" spans="1:14">
      <c r="A598" s="12" t="s">
        <v>1122</v>
      </c>
      <c r="B598" s="8">
        <v>220.10824962301501</v>
      </c>
      <c r="C598" s="12">
        <v>81.619913183676601</v>
      </c>
      <c r="D598" s="8">
        <v>1.4312201370650299</v>
      </c>
      <c r="E598" s="12">
        <v>1.38854970888596E-2</v>
      </c>
      <c r="F598" s="8" t="s">
        <v>1123</v>
      </c>
      <c r="G598" s="12" t="s">
        <v>1124</v>
      </c>
      <c r="H598" s="12">
        <v>1</v>
      </c>
      <c r="I598" s="13" t="str">
        <f>HYPERLINK("http://www.ncbi.nlm.nih.gov/gene/57110", "57110")</f>
        <v>57110</v>
      </c>
      <c r="J598" s="13" t="str">
        <f>HYPERLINK("http://www.ncbi.nlm.nih.gov/nuccore/NM_020386", "NM_020386")</f>
        <v>NM_020386</v>
      </c>
      <c r="K598" s="12" t="s">
        <v>1125</v>
      </c>
      <c r="L598" s="13" t="str">
        <f>HYPERLINK("http://asia.ensembl.org/Homo_sapiens/Gene/Summary?g=ENSG00000127252", "ENSG00000127252")</f>
        <v>ENSG00000127252</v>
      </c>
      <c r="M598" s="12" t="s">
        <v>12240</v>
      </c>
      <c r="N598" s="12" t="s">
        <v>12241</v>
      </c>
    </row>
    <row r="599" spans="1:14">
      <c r="A599" s="12" t="s">
        <v>1845</v>
      </c>
      <c r="B599" s="8">
        <v>4686.6165132325596</v>
      </c>
      <c r="C599" s="12">
        <v>1738.3030585935401</v>
      </c>
      <c r="D599" s="8">
        <v>1.4308671238898201</v>
      </c>
      <c r="E599" s="12">
        <v>1.2069400656323399E-3</v>
      </c>
      <c r="F599" s="8" t="s">
        <v>1846</v>
      </c>
      <c r="G599" s="12" t="s">
        <v>1847</v>
      </c>
      <c r="H599" s="12">
        <v>1</v>
      </c>
      <c r="I599" s="13" t="str">
        <f>HYPERLINK("http://www.ncbi.nlm.nih.gov/gene/904", "904")</f>
        <v>904</v>
      </c>
      <c r="J599" s="13" t="str">
        <f>HYPERLINK("http://www.ncbi.nlm.nih.gov/nuccore/NM_001240", "NM_001240")</f>
        <v>NM_001240</v>
      </c>
      <c r="K599" s="12" t="s">
        <v>1848</v>
      </c>
      <c r="L599" s="13" t="str">
        <f>HYPERLINK("http://asia.ensembl.org/Homo_sapiens/Gene/Summary?g=ENSG00000129315", "ENSG00000129315")</f>
        <v>ENSG00000129315</v>
      </c>
      <c r="M599" s="12" t="s">
        <v>12448</v>
      </c>
      <c r="N599" s="12" t="s">
        <v>12449</v>
      </c>
    </row>
    <row r="600" spans="1:14">
      <c r="A600" s="12" t="s">
        <v>11314</v>
      </c>
      <c r="B600" s="8">
        <v>311.32434861863601</v>
      </c>
      <c r="C600" s="12">
        <v>115.550892909057</v>
      </c>
      <c r="D600" s="8">
        <v>1.4298900059830699</v>
      </c>
      <c r="E600" s="12">
        <v>4.4074767068473597E-3</v>
      </c>
      <c r="F600" s="8" t="s">
        <v>4450</v>
      </c>
      <c r="G600" s="12" t="s">
        <v>4451</v>
      </c>
      <c r="H600" s="12">
        <v>1</v>
      </c>
      <c r="I600" s="13" t="str">
        <f>HYPERLINK("http://www.ncbi.nlm.nih.gov/gene/257019", "257019")</f>
        <v>257019</v>
      </c>
      <c r="J600" s="12" t="s">
        <v>16103</v>
      </c>
      <c r="K600" s="12" t="s">
        <v>16104</v>
      </c>
      <c r="L600" s="13" t="str">
        <f>HYPERLINK("http://asia.ensembl.org/Homo_sapiens/Gene/Summary?g=ENSG00000172159", "ENSG00000172159")</f>
        <v>ENSG00000172159</v>
      </c>
      <c r="M600" s="12" t="s">
        <v>16013</v>
      </c>
      <c r="N600" s="12" t="s">
        <v>16014</v>
      </c>
    </row>
    <row r="601" spans="1:14">
      <c r="A601" s="12" t="s">
        <v>10799</v>
      </c>
      <c r="B601" s="8">
        <v>3642.8798879957799</v>
      </c>
      <c r="C601" s="12">
        <v>1352.28298566391</v>
      </c>
      <c r="D601" s="8">
        <v>1.4296823387651201</v>
      </c>
      <c r="E601" s="12">
        <v>5.9946962366993596E-3</v>
      </c>
      <c r="F601" s="8" t="s">
        <v>3843</v>
      </c>
      <c r="G601" s="12" t="s">
        <v>3844</v>
      </c>
      <c r="H601" s="12">
        <v>1</v>
      </c>
      <c r="I601" s="13" t="str">
        <f>HYPERLINK("http://www.ncbi.nlm.nih.gov/gene/3658", "3658")</f>
        <v>3658</v>
      </c>
      <c r="J601" s="13" t="str">
        <f>HYPERLINK("http://www.ncbi.nlm.nih.gov/nuccore/NM_004136", "NM_004136")</f>
        <v>NM_004136</v>
      </c>
      <c r="K601" s="12" t="s">
        <v>3845</v>
      </c>
      <c r="L601" s="13" t="str">
        <f>HYPERLINK("http://asia.ensembl.org/Homo_sapiens/Gene/Summary?g=ENSG00000136381", "ENSG00000136381")</f>
        <v>ENSG00000136381</v>
      </c>
      <c r="M601" s="12" t="s">
        <v>15902</v>
      </c>
      <c r="N601" s="12" t="s">
        <v>15903</v>
      </c>
    </row>
    <row r="602" spans="1:14">
      <c r="A602" s="12" t="s">
        <v>5943</v>
      </c>
      <c r="B602" s="8">
        <v>15389.010694805</v>
      </c>
      <c r="C602" s="12">
        <v>5713.56285768014</v>
      </c>
      <c r="D602" s="8">
        <v>1.4294379232625101</v>
      </c>
      <c r="E602" s="12">
        <v>6.9643351696229297E-3</v>
      </c>
      <c r="F602" s="8" t="s">
        <v>5944</v>
      </c>
      <c r="G602" s="12" t="s">
        <v>5945</v>
      </c>
      <c r="H602" s="12">
        <v>1</v>
      </c>
      <c r="I602" s="13" t="str">
        <f>HYPERLINK("http://www.ncbi.nlm.nih.gov/gene/4140", "4140")</f>
        <v>4140</v>
      </c>
      <c r="J602" s="12" t="s">
        <v>13971</v>
      </c>
      <c r="K602" s="12" t="s">
        <v>13972</v>
      </c>
      <c r="L602" s="13" t="str">
        <f>HYPERLINK("http://asia.ensembl.org/Homo_sapiens/Gene/Summary?g=ENSG00000075413", "ENSG00000075413")</f>
        <v>ENSG00000075413</v>
      </c>
      <c r="M602" s="12" t="s">
        <v>13973</v>
      </c>
      <c r="N602" s="12" t="s">
        <v>13974</v>
      </c>
    </row>
    <row r="603" spans="1:14">
      <c r="A603" s="12" t="s">
        <v>11190</v>
      </c>
      <c r="B603" s="8">
        <v>3075.1168003682001</v>
      </c>
      <c r="C603" s="12">
        <v>1142.42617879404</v>
      </c>
      <c r="D603" s="8">
        <v>1.42854026419776</v>
      </c>
      <c r="E603" s="12">
        <v>9.7764618730398004E-3</v>
      </c>
      <c r="F603" s="8" t="s">
        <v>38</v>
      </c>
      <c r="G603" s="12" t="s">
        <v>38</v>
      </c>
      <c r="H603" s="12">
        <v>1</v>
      </c>
      <c r="I603" s="12" t="s">
        <v>38</v>
      </c>
      <c r="J603" s="12" t="s">
        <v>38</v>
      </c>
      <c r="K603" s="12" t="s">
        <v>38</v>
      </c>
      <c r="L603" s="13" t="str">
        <f>HYPERLINK("http://asia.ensembl.org/Homo_sapiens/Gene/Summary?g=ENSG00000213380", "ENSG00000213380")</f>
        <v>ENSG00000213380</v>
      </c>
      <c r="M603" s="12" t="s">
        <v>11191</v>
      </c>
      <c r="N603" s="12" t="s">
        <v>16026</v>
      </c>
    </row>
    <row r="604" spans="1:14">
      <c r="A604" s="12" t="s">
        <v>5695</v>
      </c>
      <c r="B604" s="8">
        <v>5569.4145301907602</v>
      </c>
      <c r="C604" s="12">
        <v>2069.3769376200598</v>
      </c>
      <c r="D604" s="8">
        <v>1.4283292196160999</v>
      </c>
      <c r="E604" s="12">
        <v>1.02828721647513E-2</v>
      </c>
      <c r="F604" s="8" t="s">
        <v>5696</v>
      </c>
      <c r="G604" s="12" t="s">
        <v>5697</v>
      </c>
      <c r="H604" s="12">
        <v>1</v>
      </c>
      <c r="I604" s="13" t="str">
        <f>HYPERLINK("http://www.ncbi.nlm.nih.gov/gene/51755", "51755")</f>
        <v>51755</v>
      </c>
      <c r="J604" s="12" t="s">
        <v>13882</v>
      </c>
      <c r="K604" s="12" t="s">
        <v>13883</v>
      </c>
      <c r="L604" s="13" t="str">
        <f>HYPERLINK("http://asia.ensembl.org/Homo_sapiens/Gene/Summary?g=ENSG00000167258", "ENSG00000167258")</f>
        <v>ENSG00000167258</v>
      </c>
      <c r="M604" s="12" t="s">
        <v>13884</v>
      </c>
      <c r="N604" s="12" t="s">
        <v>13885</v>
      </c>
    </row>
    <row r="605" spans="1:14">
      <c r="A605" s="12" t="s">
        <v>9930</v>
      </c>
      <c r="B605" s="8">
        <v>1158.7686807406899</v>
      </c>
      <c r="C605" s="12">
        <v>430.594601046452</v>
      </c>
      <c r="D605" s="8">
        <v>1.4281904613224601</v>
      </c>
      <c r="E605" s="12">
        <v>3.9514443711396998E-3</v>
      </c>
      <c r="F605" s="8" t="s">
        <v>2461</v>
      </c>
      <c r="G605" s="12" t="s">
        <v>2462</v>
      </c>
      <c r="H605" s="12">
        <v>1</v>
      </c>
      <c r="I605" s="13" t="str">
        <f>HYPERLINK("http://www.ncbi.nlm.nih.gov/gene/10611", "10611")</f>
        <v>10611</v>
      </c>
      <c r="J605" s="12" t="s">
        <v>15247</v>
      </c>
      <c r="K605" s="12" t="s">
        <v>15248</v>
      </c>
      <c r="L605" s="13" t="str">
        <f>HYPERLINK("http://asia.ensembl.org/Homo_sapiens/Gene/Summary?g=ENSG00000163110", "ENSG00000163110")</f>
        <v>ENSG00000163110</v>
      </c>
      <c r="M605" s="12" t="s">
        <v>12659</v>
      </c>
      <c r="N605" s="12" t="s">
        <v>12660</v>
      </c>
    </row>
    <row r="606" spans="1:14">
      <c r="A606" s="12" t="s">
        <v>10680</v>
      </c>
      <c r="B606" s="8">
        <v>12952.425010745001</v>
      </c>
      <c r="C606" s="12">
        <v>4817.9942172084402</v>
      </c>
      <c r="D606" s="8">
        <v>1.42671766389951</v>
      </c>
      <c r="E606" s="12">
        <v>7.91540311273939E-4</v>
      </c>
      <c r="F606" s="8" t="s">
        <v>525</v>
      </c>
      <c r="G606" s="12" t="s">
        <v>526</v>
      </c>
      <c r="H606" s="12">
        <v>1</v>
      </c>
      <c r="I606" s="13" t="str">
        <f>HYPERLINK("http://www.ncbi.nlm.nih.gov/gene/214", "214")</f>
        <v>214</v>
      </c>
      <c r="J606" s="12" t="s">
        <v>12008</v>
      </c>
      <c r="K606" s="12" t="s">
        <v>12009</v>
      </c>
      <c r="L606" s="13" t="str">
        <f>HYPERLINK("http://asia.ensembl.org/Homo_sapiens/Gene/Summary?g=ENSG00000170017", "ENSG00000170017")</f>
        <v>ENSG00000170017</v>
      </c>
      <c r="M606" s="12" t="s">
        <v>12010</v>
      </c>
      <c r="N606" s="12" t="s">
        <v>12011</v>
      </c>
    </row>
    <row r="607" spans="1:14">
      <c r="A607" s="12" t="s">
        <v>1567</v>
      </c>
      <c r="B607" s="8">
        <v>3749.5517982193101</v>
      </c>
      <c r="C607" s="12">
        <v>1394.7785087551599</v>
      </c>
      <c r="D607" s="8">
        <v>1.42668211386814</v>
      </c>
      <c r="E607" s="12">
        <v>1.99848061334541E-3</v>
      </c>
      <c r="F607" s="8" t="s">
        <v>1568</v>
      </c>
      <c r="G607" s="12" t="s">
        <v>12358</v>
      </c>
      <c r="H607" s="12">
        <v>1</v>
      </c>
      <c r="I607" s="13" t="str">
        <f>HYPERLINK("http://www.ncbi.nlm.nih.gov/gene/5577", "5577")</f>
        <v>5577</v>
      </c>
      <c r="J607" s="13" t="str">
        <f>HYPERLINK("http://www.ncbi.nlm.nih.gov/nuccore/NM_002736", "NM_002736")</f>
        <v>NM_002736</v>
      </c>
      <c r="K607" s="12" t="s">
        <v>1569</v>
      </c>
      <c r="L607" s="13" t="str">
        <f>HYPERLINK("http://asia.ensembl.org/Homo_sapiens/Gene/Summary?g=ENSG00000005249", "ENSG00000005249")</f>
        <v>ENSG00000005249</v>
      </c>
      <c r="M607" s="12" t="s">
        <v>12359</v>
      </c>
      <c r="N607" s="12" t="s">
        <v>1570</v>
      </c>
    </row>
    <row r="608" spans="1:14">
      <c r="A608" s="12" t="s">
        <v>7080</v>
      </c>
      <c r="B608" s="8">
        <v>23086.775398106201</v>
      </c>
      <c r="C608" s="12">
        <v>8589.6295243543209</v>
      </c>
      <c r="D608" s="8">
        <v>1.42639886791513</v>
      </c>
      <c r="E608" s="12">
        <v>3.7434627658048999E-3</v>
      </c>
      <c r="F608" s="8" t="s">
        <v>7081</v>
      </c>
      <c r="G608" s="12" t="s">
        <v>14343</v>
      </c>
      <c r="H608" s="12">
        <v>4</v>
      </c>
      <c r="I608" s="12" t="s">
        <v>7082</v>
      </c>
      <c r="J608" s="12" t="s">
        <v>14344</v>
      </c>
      <c r="K608" s="12" t="s">
        <v>14345</v>
      </c>
      <c r="L608" s="12" t="s">
        <v>7083</v>
      </c>
      <c r="M608" s="12" t="s">
        <v>14346</v>
      </c>
      <c r="N608" s="12" t="s">
        <v>14347</v>
      </c>
    </row>
    <row r="609" spans="1:14">
      <c r="A609" s="12" t="s">
        <v>1060</v>
      </c>
      <c r="B609" s="8">
        <v>6069.5844411763201</v>
      </c>
      <c r="C609" s="12">
        <v>2258.3245397990299</v>
      </c>
      <c r="D609" s="8">
        <v>1.4263449164776201</v>
      </c>
      <c r="E609" s="12">
        <v>3.3133372777818701E-4</v>
      </c>
      <c r="F609" s="8" t="s">
        <v>1061</v>
      </c>
      <c r="G609" s="12" t="s">
        <v>1062</v>
      </c>
      <c r="H609" s="12">
        <v>1</v>
      </c>
      <c r="I609" s="13" t="str">
        <f>HYPERLINK("http://www.ncbi.nlm.nih.gov/gene/23244", "23244")</f>
        <v>23244</v>
      </c>
      <c r="J609" s="13" t="str">
        <f>HYPERLINK("http://www.ncbi.nlm.nih.gov/nuccore/NM_001100399", "NM_001100399")</f>
        <v>NM_001100399</v>
      </c>
      <c r="K609" s="12" t="s">
        <v>1063</v>
      </c>
      <c r="L609" s="13" t="str">
        <f>HYPERLINK("http://asia.ensembl.org/Homo_sapiens/Gene/Summary?g=ENSG00000121892", "ENSG00000121892")</f>
        <v>ENSG00000121892</v>
      </c>
      <c r="M609" s="12" t="s">
        <v>12218</v>
      </c>
      <c r="N609" s="12" t="s">
        <v>12219</v>
      </c>
    </row>
    <row r="610" spans="1:14">
      <c r="A610" s="12" t="s">
        <v>11298</v>
      </c>
      <c r="B610" s="8">
        <v>1286.5593263314699</v>
      </c>
      <c r="C610" s="12">
        <v>479.30480227546599</v>
      </c>
      <c r="D610" s="8">
        <v>1.4245026848620601</v>
      </c>
      <c r="E610" s="12">
        <v>2.2679722349218498E-3</v>
      </c>
      <c r="F610" s="8" t="s">
        <v>38</v>
      </c>
      <c r="G610" s="12" t="s">
        <v>38</v>
      </c>
      <c r="H610" s="12">
        <v>1</v>
      </c>
      <c r="I610" s="12" t="s">
        <v>38</v>
      </c>
      <c r="J610" s="12" t="s">
        <v>38</v>
      </c>
      <c r="K610" s="12" t="s">
        <v>38</v>
      </c>
      <c r="L610" s="13" t="str">
        <f>HYPERLINK("http://asia.ensembl.org/Homo_sapiens/Gene/Summary?g=ENSG00000138138", "ENSG00000138138")</f>
        <v>ENSG00000138138</v>
      </c>
      <c r="M610" s="12" t="s">
        <v>11299</v>
      </c>
      <c r="N610" s="12" t="s">
        <v>16096</v>
      </c>
    </row>
    <row r="611" spans="1:14">
      <c r="A611" s="12" t="s">
        <v>10826</v>
      </c>
      <c r="B611" s="8">
        <v>2245.6511621445202</v>
      </c>
      <c r="C611" s="12">
        <v>836.87835604940199</v>
      </c>
      <c r="D611" s="8">
        <v>1.42404399686423</v>
      </c>
      <c r="E611" s="12">
        <v>1.0609438564573999E-2</v>
      </c>
      <c r="F611" s="8" t="s">
        <v>10827</v>
      </c>
      <c r="G611" s="12" t="s">
        <v>15924</v>
      </c>
      <c r="H611" s="12">
        <v>4</v>
      </c>
      <c r="I611" s="12" t="s">
        <v>10828</v>
      </c>
      <c r="J611" s="12" t="s">
        <v>10829</v>
      </c>
      <c r="K611" s="12" t="s">
        <v>10830</v>
      </c>
      <c r="L611" s="12" t="s">
        <v>10831</v>
      </c>
      <c r="M611" s="12" t="s">
        <v>15925</v>
      </c>
      <c r="N611" s="12" t="s">
        <v>15926</v>
      </c>
    </row>
    <row r="612" spans="1:14">
      <c r="A612" s="12" t="s">
        <v>2445</v>
      </c>
      <c r="B612" s="8">
        <v>211.31506072103701</v>
      </c>
      <c r="C612" s="12">
        <v>78.758266201500106</v>
      </c>
      <c r="D612" s="8">
        <v>1.42389233688203</v>
      </c>
      <c r="E612" s="12">
        <v>4.06181542150706E-3</v>
      </c>
      <c r="F612" s="8" t="s">
        <v>2446</v>
      </c>
      <c r="G612" s="12" t="s">
        <v>12640</v>
      </c>
      <c r="H612" s="12">
        <v>1</v>
      </c>
      <c r="I612" s="13" t="str">
        <f>HYPERLINK("http://www.ncbi.nlm.nih.gov/gene/7474", "7474")</f>
        <v>7474</v>
      </c>
      <c r="J612" s="12" t="s">
        <v>12641</v>
      </c>
      <c r="K612" s="12" t="s">
        <v>12642</v>
      </c>
      <c r="L612" s="13" t="str">
        <f>HYPERLINK("http://asia.ensembl.org/Homo_sapiens/Gene/Summary?g=ENSG00000114251", "ENSG00000114251")</f>
        <v>ENSG00000114251</v>
      </c>
      <c r="M612" s="12" t="s">
        <v>12643</v>
      </c>
      <c r="N612" s="12" t="s">
        <v>12644</v>
      </c>
    </row>
    <row r="613" spans="1:14">
      <c r="A613" s="12" t="s">
        <v>755</v>
      </c>
      <c r="B613" s="8">
        <v>11477.326216854</v>
      </c>
      <c r="C613" s="12">
        <v>4278.0361256582701</v>
      </c>
      <c r="D613" s="8">
        <v>1.4237660173160001</v>
      </c>
      <c r="E613" s="12">
        <v>3.5061259242307199E-3</v>
      </c>
      <c r="F613" s="8" t="s">
        <v>756</v>
      </c>
      <c r="G613" s="12" t="s">
        <v>280</v>
      </c>
      <c r="H613" s="12">
        <v>1</v>
      </c>
      <c r="I613" s="13" t="str">
        <f>HYPERLINK("http://www.ncbi.nlm.nih.gov/gene/25948", "25948")</f>
        <v>25948</v>
      </c>
      <c r="J613" s="13" t="str">
        <f>HYPERLINK("http://www.ncbi.nlm.nih.gov/nuccore/NM_015483", "NM_015483")</f>
        <v>NM_015483</v>
      </c>
      <c r="K613" s="12" t="s">
        <v>757</v>
      </c>
      <c r="L613" s="13" t="str">
        <f>HYPERLINK("http://asia.ensembl.org/Homo_sapiens/Gene/Summary?g=ENSG00000170852", "ENSG00000170852")</f>
        <v>ENSG00000170852</v>
      </c>
      <c r="M613" s="12" t="s">
        <v>12091</v>
      </c>
      <c r="N613" s="12" t="s">
        <v>12092</v>
      </c>
    </row>
    <row r="614" spans="1:14">
      <c r="A614" s="12" t="s">
        <v>217</v>
      </c>
      <c r="B614" s="8">
        <v>1645.3033912041799</v>
      </c>
      <c r="C614" s="12">
        <v>613.50817263363899</v>
      </c>
      <c r="D614" s="8">
        <v>1.4231991715691701</v>
      </c>
      <c r="E614" s="12">
        <v>5.0441141852563204E-3</v>
      </c>
      <c r="F614" s="8" t="s">
        <v>218</v>
      </c>
      <c r="G614" s="12" t="s">
        <v>219</v>
      </c>
      <c r="H614" s="12">
        <v>1</v>
      </c>
      <c r="I614" s="13" t="str">
        <f>HYPERLINK("http://www.ncbi.nlm.nih.gov/gene/9926", "9926")</f>
        <v>9926</v>
      </c>
      <c r="J614" s="13" t="str">
        <f>HYPERLINK("http://www.ncbi.nlm.nih.gov/nuccore/NM_014873", "NM_014873")</f>
        <v>NM_014873</v>
      </c>
      <c r="K614" s="12" t="s">
        <v>220</v>
      </c>
      <c r="L614" s="13" t="str">
        <f>HYPERLINK("http://asia.ensembl.org/Homo_sapiens/Gene/Summary?g=ENSG00000123684", "ENSG00000123684")</f>
        <v>ENSG00000123684</v>
      </c>
      <c r="M614" s="12" t="s">
        <v>11902</v>
      </c>
      <c r="N614" s="12" t="s">
        <v>11903</v>
      </c>
    </row>
    <row r="615" spans="1:14">
      <c r="A615" s="12" t="s">
        <v>7845</v>
      </c>
      <c r="B615" s="8">
        <v>2045.0260112764199</v>
      </c>
      <c r="C615" s="12">
        <v>762.78068100627604</v>
      </c>
      <c r="D615" s="8">
        <v>1.4227789833395501</v>
      </c>
      <c r="E615" s="12">
        <v>6.9899141709926001E-3</v>
      </c>
      <c r="F615" s="8" t="s">
        <v>7846</v>
      </c>
      <c r="G615" s="12" t="s">
        <v>7847</v>
      </c>
      <c r="H615" s="12">
        <v>1</v>
      </c>
      <c r="I615" s="13" t="str">
        <f>HYPERLINK("http://www.ncbi.nlm.nih.gov/gene/9868", "9868")</f>
        <v>9868</v>
      </c>
      <c r="J615" s="13" t="str">
        <f>HYPERLINK("http://www.ncbi.nlm.nih.gov/nuccore/NM_014820", "NM_014820")</f>
        <v>NM_014820</v>
      </c>
      <c r="K615" s="12" t="s">
        <v>7848</v>
      </c>
      <c r="L615" s="13" t="str">
        <f>HYPERLINK("http://asia.ensembl.org/Homo_sapiens/Gene/Summary?g=ENSG00000154174", "ENSG00000154174")</f>
        <v>ENSG00000154174</v>
      </c>
      <c r="M615" s="12" t="s">
        <v>14574</v>
      </c>
      <c r="N615" s="12" t="s">
        <v>7849</v>
      </c>
    </row>
    <row r="616" spans="1:14">
      <c r="A616" s="12" t="s">
        <v>10778</v>
      </c>
      <c r="B616" s="8">
        <v>1932.9828913496699</v>
      </c>
      <c r="C616" s="12">
        <v>721.00752666598601</v>
      </c>
      <c r="D616" s="8">
        <v>1.42274264335935</v>
      </c>
      <c r="E616" s="12">
        <v>4.2925886297432299E-4</v>
      </c>
      <c r="F616" s="8" t="s">
        <v>2646</v>
      </c>
      <c r="G616" s="12" t="s">
        <v>15858</v>
      </c>
      <c r="H616" s="12">
        <v>1</v>
      </c>
      <c r="I616" s="13" t="str">
        <f>HYPERLINK("http://www.ncbi.nlm.nih.gov/gene/51566", "51566")</f>
        <v>51566</v>
      </c>
      <c r="J616" s="12" t="s">
        <v>15859</v>
      </c>
      <c r="K616" s="12" t="s">
        <v>15860</v>
      </c>
      <c r="L616" s="13" t="str">
        <f>HYPERLINK("http://asia.ensembl.org/Homo_sapiens/Gene/Summary?g=ENSG00000102401", "ENSG00000102401")</f>
        <v>ENSG00000102401</v>
      </c>
      <c r="M616" s="12" t="s">
        <v>15861</v>
      </c>
      <c r="N616" s="12" t="s">
        <v>15862</v>
      </c>
    </row>
    <row r="617" spans="1:14">
      <c r="A617" s="12" t="s">
        <v>10282</v>
      </c>
      <c r="B617" s="8">
        <v>134.03310289070001</v>
      </c>
      <c r="C617" s="12">
        <v>49.999999999999901</v>
      </c>
      <c r="D617" s="8">
        <v>1.42258935499884</v>
      </c>
      <c r="E617" s="12">
        <v>1.39114366876937E-4</v>
      </c>
      <c r="F617" s="8" t="s">
        <v>2297</v>
      </c>
      <c r="G617" s="12" t="s">
        <v>2298</v>
      </c>
      <c r="H617" s="12">
        <v>1</v>
      </c>
      <c r="I617" s="13" t="str">
        <f>HYPERLINK("http://www.ncbi.nlm.nih.gov/gene/7381", "7381")</f>
        <v>7381</v>
      </c>
      <c r="J617" s="12" t="s">
        <v>15357</v>
      </c>
      <c r="K617" s="12" t="s">
        <v>15358</v>
      </c>
      <c r="L617" s="13" t="str">
        <f>HYPERLINK("http://asia.ensembl.org/Homo_sapiens/Gene/Summary?g=ENSG00000156467", "ENSG00000156467")</f>
        <v>ENSG00000156467</v>
      </c>
      <c r="M617" s="12" t="s">
        <v>15359</v>
      </c>
      <c r="N617" s="12" t="s">
        <v>15360</v>
      </c>
    </row>
    <row r="618" spans="1:14">
      <c r="A618" s="12" t="s">
        <v>2231</v>
      </c>
      <c r="B618" s="8">
        <v>727.28778772896999</v>
      </c>
      <c r="C618" s="12">
        <v>271.721002829432</v>
      </c>
      <c r="D618" s="8">
        <v>1.4204002676498699</v>
      </c>
      <c r="E618" s="12">
        <v>7.49535632489486E-3</v>
      </c>
      <c r="F618" s="8" t="s">
        <v>38</v>
      </c>
      <c r="G618" s="12" t="s">
        <v>38</v>
      </c>
      <c r="H618" s="12">
        <v>1</v>
      </c>
      <c r="I618" s="12" t="s">
        <v>38</v>
      </c>
      <c r="J618" s="12" t="s">
        <v>38</v>
      </c>
      <c r="K618" s="12" t="s">
        <v>38</v>
      </c>
      <c r="L618" s="13" t="str">
        <f>HYPERLINK("http://asia.ensembl.org/Homo_sapiens/Gene/Summary?g=ENSG00000049883", "ENSG00000049883")</f>
        <v>ENSG00000049883</v>
      </c>
      <c r="M618" s="12" t="s">
        <v>2232</v>
      </c>
      <c r="N618" s="12" t="s">
        <v>12572</v>
      </c>
    </row>
    <row r="619" spans="1:14">
      <c r="A619" s="12" t="s">
        <v>7856</v>
      </c>
      <c r="B619" s="8">
        <v>188.851070469908</v>
      </c>
      <c r="C619" s="12">
        <v>70.684918271744607</v>
      </c>
      <c r="D619" s="8">
        <v>1.4177746299462599</v>
      </c>
      <c r="E619" s="12">
        <v>2.9388428408336501E-2</v>
      </c>
      <c r="F619" s="8" t="s">
        <v>7857</v>
      </c>
      <c r="G619" s="12" t="s">
        <v>5217</v>
      </c>
      <c r="H619" s="12">
        <v>1</v>
      </c>
      <c r="I619" s="13" t="str">
        <f>HYPERLINK("http://www.ncbi.nlm.nih.gov/gene/6507", "6507")</f>
        <v>6507</v>
      </c>
      <c r="J619" s="12" t="s">
        <v>14583</v>
      </c>
      <c r="K619" s="12" t="s">
        <v>14584</v>
      </c>
      <c r="L619" s="13" t="str">
        <f>HYPERLINK("http://asia.ensembl.org/Homo_sapiens/Gene/Summary?g=ENSG00000079215", "ENSG00000079215")</f>
        <v>ENSG00000079215</v>
      </c>
      <c r="M619" s="12" t="s">
        <v>14585</v>
      </c>
      <c r="N619" s="12" t="s">
        <v>14586</v>
      </c>
    </row>
    <row r="620" spans="1:14">
      <c r="A620" s="12" t="s">
        <v>1118</v>
      </c>
      <c r="B620" s="8">
        <v>2748.5674523043499</v>
      </c>
      <c r="C620" s="12">
        <v>1029.35343153843</v>
      </c>
      <c r="D620" s="8">
        <v>1.4169414639454501</v>
      </c>
      <c r="E620" s="12">
        <v>4.7880522634997204E-3</v>
      </c>
      <c r="F620" s="8" t="s">
        <v>1119</v>
      </c>
      <c r="G620" s="12" t="s">
        <v>1120</v>
      </c>
      <c r="H620" s="12">
        <v>1</v>
      </c>
      <c r="I620" s="13" t="str">
        <f>HYPERLINK("http://www.ncbi.nlm.nih.gov/gene/8930", "8930")</f>
        <v>8930</v>
      </c>
      <c r="J620" s="13" t="str">
        <f>HYPERLINK("http://www.ncbi.nlm.nih.gov/nuccore/NM_003925", "NM_003925")</f>
        <v>NM_003925</v>
      </c>
      <c r="K620" s="12" t="s">
        <v>1121</v>
      </c>
      <c r="L620" s="13" t="str">
        <f>HYPERLINK("http://asia.ensembl.org/Homo_sapiens/Gene/Summary?g=ENSG00000129071", "ENSG00000129071")</f>
        <v>ENSG00000129071</v>
      </c>
      <c r="M620" s="12" t="s">
        <v>12238</v>
      </c>
      <c r="N620" s="12" t="s">
        <v>12239</v>
      </c>
    </row>
    <row r="621" spans="1:14">
      <c r="A621" s="12" t="s">
        <v>9727</v>
      </c>
      <c r="B621" s="8">
        <v>2642.5938008796802</v>
      </c>
      <c r="C621" s="12">
        <v>990.08716802531603</v>
      </c>
      <c r="D621" s="8">
        <v>1.4163272302138601</v>
      </c>
      <c r="E621" s="12">
        <v>1.1289572554667501E-2</v>
      </c>
      <c r="F621" s="8" t="s">
        <v>9728</v>
      </c>
      <c r="G621" s="12" t="s">
        <v>15175</v>
      </c>
      <c r="H621" s="12">
        <v>1</v>
      </c>
      <c r="I621" s="13" t="str">
        <f>HYPERLINK("http://www.ncbi.nlm.nih.gov/gene/10910", "10910")</f>
        <v>10910</v>
      </c>
      <c r="J621" s="12" t="s">
        <v>15176</v>
      </c>
      <c r="K621" s="12" t="s">
        <v>15177</v>
      </c>
      <c r="L621" s="13" t="str">
        <f>HYPERLINK("http://asia.ensembl.org/Homo_sapiens/Gene/Summary?g=ENSG00000165416", "ENSG00000165416")</f>
        <v>ENSG00000165416</v>
      </c>
      <c r="M621" s="12" t="s">
        <v>15178</v>
      </c>
      <c r="N621" s="12" t="s">
        <v>15179</v>
      </c>
    </row>
    <row r="622" spans="1:14">
      <c r="A622" s="12" t="s">
        <v>1756</v>
      </c>
      <c r="B622" s="8">
        <v>220.42397620900101</v>
      </c>
      <c r="C622" s="12">
        <v>82.628138088376204</v>
      </c>
      <c r="D622" s="8">
        <v>1.4155760948296301</v>
      </c>
      <c r="E622" s="12">
        <v>9.2461456974184102E-3</v>
      </c>
      <c r="F622" s="8" t="s">
        <v>1757</v>
      </c>
      <c r="G622" s="12" t="s">
        <v>1758</v>
      </c>
      <c r="H622" s="12">
        <v>1</v>
      </c>
      <c r="I622" s="13" t="str">
        <f>HYPERLINK("http://www.ncbi.nlm.nih.gov/gene/79723", "79723")</f>
        <v>79723</v>
      </c>
      <c r="J622" s="12" t="s">
        <v>12401</v>
      </c>
      <c r="K622" s="12" t="s">
        <v>12402</v>
      </c>
      <c r="L622" s="13" t="str">
        <f>HYPERLINK("http://asia.ensembl.org/Homo_sapiens/Gene/Summary?g=ENSG00000152455", "ENSG00000152455")</f>
        <v>ENSG00000152455</v>
      </c>
      <c r="M622" s="12" t="s">
        <v>12403</v>
      </c>
      <c r="N622" s="12" t="s">
        <v>12404</v>
      </c>
    </row>
    <row r="623" spans="1:14">
      <c r="A623" s="12" t="s">
        <v>9862</v>
      </c>
      <c r="B623" s="8">
        <v>1105.4013170943499</v>
      </c>
      <c r="C623" s="12">
        <v>414.59828379140401</v>
      </c>
      <c r="D623" s="8">
        <v>1.4147841870389299</v>
      </c>
      <c r="E623" s="12">
        <v>1.3987284574133599E-2</v>
      </c>
      <c r="F623" s="8" t="s">
        <v>5648</v>
      </c>
      <c r="G623" s="12" t="s">
        <v>15211</v>
      </c>
      <c r="H623" s="12">
        <v>1</v>
      </c>
      <c r="I623" s="13" t="str">
        <f>HYPERLINK("http://www.ncbi.nlm.nih.gov/gene/4799", "4799")</f>
        <v>4799</v>
      </c>
      <c r="J623" s="12" t="s">
        <v>15212</v>
      </c>
      <c r="K623" s="12" t="s">
        <v>15213</v>
      </c>
      <c r="L623" s="13" t="str">
        <f>HYPERLINK("http://asia.ensembl.org/Homo_sapiens/Gene/Summary?g=ENSG00000086102", "ENSG00000086102")</f>
        <v>ENSG00000086102</v>
      </c>
      <c r="M623" s="12" t="s">
        <v>15214</v>
      </c>
      <c r="N623" s="12" t="s">
        <v>15215</v>
      </c>
    </row>
    <row r="624" spans="1:14">
      <c r="A624" s="12" t="s">
        <v>10556</v>
      </c>
      <c r="B624" s="8">
        <v>506.86421983931302</v>
      </c>
      <c r="C624" s="12">
        <v>190.12598645739499</v>
      </c>
      <c r="D624" s="8">
        <v>1.4146435926204299</v>
      </c>
      <c r="E624" s="12">
        <v>9.5976110557124505E-4</v>
      </c>
      <c r="F624" s="8" t="s">
        <v>8638</v>
      </c>
      <c r="G624" s="12" t="s">
        <v>8639</v>
      </c>
      <c r="H624" s="12">
        <v>1</v>
      </c>
      <c r="I624" s="13" t="str">
        <f>HYPERLINK("http://www.ncbi.nlm.nih.gov/gene/284071", "284071")</f>
        <v>284071</v>
      </c>
      <c r="J624" s="13" t="str">
        <f>HYPERLINK("http://www.ncbi.nlm.nih.gov/nuccore/NM_001145080", "NM_001145080")</f>
        <v>NM_001145080</v>
      </c>
      <c r="K624" s="12" t="s">
        <v>8640</v>
      </c>
      <c r="L624" s="13" t="str">
        <f>HYPERLINK("http://asia.ensembl.org/Homo_sapiens/Gene/Summary?g=ENSG00000180336", "ENSG00000180336")</f>
        <v>ENSG00000180336</v>
      </c>
      <c r="M624" s="12" t="s">
        <v>15563</v>
      </c>
      <c r="N624" s="12" t="s">
        <v>15564</v>
      </c>
    </row>
    <row r="625" spans="1:14">
      <c r="A625" s="12" t="s">
        <v>10735</v>
      </c>
      <c r="B625" s="8">
        <v>225.51828226821399</v>
      </c>
      <c r="C625" s="12">
        <v>84.657469277231797</v>
      </c>
      <c r="D625" s="8">
        <v>1.41353512735811</v>
      </c>
      <c r="E625" s="12">
        <v>2.61659956889876E-3</v>
      </c>
      <c r="F625" s="8" t="s">
        <v>6083</v>
      </c>
      <c r="G625" s="12" t="s">
        <v>6084</v>
      </c>
      <c r="H625" s="12">
        <v>1</v>
      </c>
      <c r="I625" s="13" t="str">
        <f>HYPERLINK("http://www.ncbi.nlm.nih.gov/gene/26190", "26190")</f>
        <v>26190</v>
      </c>
      <c r="J625" s="13" t="str">
        <f>HYPERLINK("http://www.ncbi.nlm.nih.gov/nuccore/NM_012164", "NM_012164")</f>
        <v>NM_012164</v>
      </c>
      <c r="K625" s="12" t="s">
        <v>6085</v>
      </c>
      <c r="L625" s="13" t="str">
        <f>HYPERLINK("http://asia.ensembl.org/Homo_sapiens/Gene/Summary?g=ENSG00000119402", "ENSG00000119402")</f>
        <v>ENSG00000119402</v>
      </c>
      <c r="M625" s="12" t="s">
        <v>15788</v>
      </c>
      <c r="N625" s="12" t="s">
        <v>15789</v>
      </c>
    </row>
    <row r="626" spans="1:14">
      <c r="A626" s="12" t="s">
        <v>677</v>
      </c>
      <c r="B626" s="8">
        <v>3111.9737806027101</v>
      </c>
      <c r="C626" s="12">
        <v>1168.50239984889</v>
      </c>
      <c r="D626" s="8">
        <v>1.41316920809306</v>
      </c>
      <c r="E626" s="12">
        <v>5.6554142840438901E-3</v>
      </c>
      <c r="F626" s="8" t="s">
        <v>678</v>
      </c>
      <c r="G626" s="12" t="s">
        <v>679</v>
      </c>
      <c r="H626" s="12">
        <v>1</v>
      </c>
      <c r="I626" s="13" t="str">
        <f>HYPERLINK("http://www.ncbi.nlm.nih.gov/gene/79625", "79625")</f>
        <v>79625</v>
      </c>
      <c r="J626" s="13" t="str">
        <f>HYPERLINK("http://www.ncbi.nlm.nih.gov/nuccore/NM_024574", "NM_024574")</f>
        <v>NM_024574</v>
      </c>
      <c r="K626" s="12" t="s">
        <v>680</v>
      </c>
      <c r="L626" s="13" t="str">
        <f>HYPERLINK("http://asia.ensembl.org/Homo_sapiens/Gene/Summary?g=ENSG00000173376", "ENSG00000173376")</f>
        <v>ENSG00000173376</v>
      </c>
      <c r="M626" s="12" t="s">
        <v>12062</v>
      </c>
      <c r="N626" s="12" t="s">
        <v>12063</v>
      </c>
    </row>
    <row r="627" spans="1:14">
      <c r="A627" s="12" t="s">
        <v>11235</v>
      </c>
      <c r="B627" s="8">
        <v>1082.9046733944899</v>
      </c>
      <c r="C627" s="12">
        <v>406.665218666741</v>
      </c>
      <c r="D627" s="8">
        <v>1.4129927399623601</v>
      </c>
      <c r="E627" s="12">
        <v>6.3026419626930497E-3</v>
      </c>
      <c r="F627" s="8" t="s">
        <v>8686</v>
      </c>
      <c r="G627" s="12" t="s">
        <v>14811</v>
      </c>
      <c r="H627" s="12">
        <v>1</v>
      </c>
      <c r="I627" s="13" t="str">
        <f>HYPERLINK("http://www.ncbi.nlm.nih.gov/gene/23507", "23507")</f>
        <v>23507</v>
      </c>
      <c r="J627" s="12" t="s">
        <v>14812</v>
      </c>
      <c r="K627" s="12" t="s">
        <v>14813</v>
      </c>
      <c r="L627" s="13" t="str">
        <f>HYPERLINK("http://asia.ensembl.org/Homo_sapiens/Gene/Summary?g=ENSG00000197147", "ENSG00000197147")</f>
        <v>ENSG00000197147</v>
      </c>
      <c r="M627" s="12" t="s">
        <v>14814</v>
      </c>
      <c r="N627" s="12" t="s">
        <v>14815</v>
      </c>
    </row>
    <row r="628" spans="1:14">
      <c r="A628" s="12" t="s">
        <v>10117</v>
      </c>
      <c r="B628" s="8">
        <v>1958.4898858205199</v>
      </c>
      <c r="C628" s="12">
        <v>735.62191501704206</v>
      </c>
      <c r="D628" s="8">
        <v>1.41270531279886</v>
      </c>
      <c r="E628" s="12">
        <v>3.36090171576658E-3</v>
      </c>
      <c r="F628" s="8" t="s">
        <v>951</v>
      </c>
      <c r="G628" s="12" t="s">
        <v>952</v>
      </c>
      <c r="H628" s="12">
        <v>1</v>
      </c>
      <c r="I628" s="13" t="str">
        <f>HYPERLINK("http://www.ncbi.nlm.nih.gov/gene/55781", "55781")</f>
        <v>55781</v>
      </c>
      <c r="J628" s="13" t="str">
        <f>HYPERLINK("http://www.ncbi.nlm.nih.gov/nuccore/NM_001159749", "NM_001159749")</f>
        <v>NM_001159749</v>
      </c>
      <c r="K628" s="12" t="s">
        <v>10118</v>
      </c>
      <c r="L628" s="13" t="str">
        <f>HYPERLINK("http://asia.ensembl.org/Homo_sapiens/Gene/Summary?g=ENSG00000058729", "ENSG00000058729")</f>
        <v>ENSG00000058729</v>
      </c>
      <c r="M628" s="12" t="s">
        <v>12172</v>
      </c>
      <c r="N628" s="12" t="s">
        <v>12173</v>
      </c>
    </row>
    <row r="629" spans="1:14">
      <c r="A629" s="12" t="s">
        <v>4241</v>
      </c>
      <c r="B629" s="8">
        <v>988.53064676777603</v>
      </c>
      <c r="C629" s="12">
        <v>371.37939573772002</v>
      </c>
      <c r="D629" s="8">
        <v>1.41239191732214</v>
      </c>
      <c r="E629" s="12">
        <v>9.6362916876680006E-3</v>
      </c>
      <c r="F629" s="8" t="s">
        <v>4242</v>
      </c>
      <c r="G629" s="12" t="s">
        <v>13176</v>
      </c>
      <c r="H629" s="12">
        <v>1</v>
      </c>
      <c r="I629" s="13" t="str">
        <f>HYPERLINK("http://www.ncbi.nlm.nih.gov/gene/91461", "91461")</f>
        <v>91461</v>
      </c>
      <c r="J629" s="13" t="str">
        <f>HYPERLINK("http://www.ncbi.nlm.nih.gov/nuccore/NM_138370", "NM_138370")</f>
        <v>NM_138370</v>
      </c>
      <c r="K629" s="12" t="s">
        <v>4243</v>
      </c>
      <c r="L629" s="13" t="str">
        <f>HYPERLINK("http://asia.ensembl.org/Homo_sapiens/Gene/Summary?g=ENSG00000162878", "ENSG00000162878")</f>
        <v>ENSG00000162878</v>
      </c>
      <c r="M629" s="12" t="s">
        <v>13177</v>
      </c>
      <c r="N629" s="12" t="s">
        <v>13178</v>
      </c>
    </row>
    <row r="630" spans="1:14">
      <c r="A630" s="12" t="s">
        <v>3433</v>
      </c>
      <c r="B630" s="8">
        <v>760.66088398423597</v>
      </c>
      <c r="C630" s="12">
        <v>285.93457306221399</v>
      </c>
      <c r="D630" s="8">
        <v>1.41156834783368</v>
      </c>
      <c r="E630" s="12">
        <v>2.49237771159398E-3</v>
      </c>
      <c r="F630" s="8" t="s">
        <v>3434</v>
      </c>
      <c r="G630" s="12" t="s">
        <v>12980</v>
      </c>
      <c r="H630" s="12">
        <v>1</v>
      </c>
      <c r="I630" s="13" t="str">
        <f>HYPERLINK("http://www.ncbi.nlm.nih.gov/gene/163882", "163882")</f>
        <v>163882</v>
      </c>
      <c r="J630" s="13" t="str">
        <f>HYPERLINK("http://www.ncbi.nlm.nih.gov/nuccore/NM_152609", "NM_152609")</f>
        <v>NM_152609</v>
      </c>
      <c r="K630" s="12" t="s">
        <v>3435</v>
      </c>
      <c r="L630" s="13" t="str">
        <f>HYPERLINK("http://asia.ensembl.org/Homo_sapiens/Gene/Summary?g=ENSG00000162852", "ENSG00000162852")</f>
        <v>ENSG00000162852</v>
      </c>
      <c r="M630" s="12" t="s">
        <v>12981</v>
      </c>
      <c r="N630" s="12" t="s">
        <v>12982</v>
      </c>
    </row>
    <row r="631" spans="1:14">
      <c r="A631" s="12" t="s">
        <v>10263</v>
      </c>
      <c r="B631" s="8">
        <v>7923.2922564574601</v>
      </c>
      <c r="C631" s="12">
        <v>2979.0235975048199</v>
      </c>
      <c r="D631" s="8">
        <v>1.41126046653518</v>
      </c>
      <c r="E631" s="12">
        <v>7.1280572221668597E-3</v>
      </c>
      <c r="F631" s="8" t="s">
        <v>10264</v>
      </c>
      <c r="G631" s="12" t="s">
        <v>10265</v>
      </c>
      <c r="H631" s="12">
        <v>1</v>
      </c>
      <c r="I631" s="13" t="str">
        <f>HYPERLINK("http://www.ncbi.nlm.nih.gov/gene/3987", "3987")</f>
        <v>3987</v>
      </c>
      <c r="J631" s="12" t="s">
        <v>15346</v>
      </c>
      <c r="K631" s="12" t="s">
        <v>15347</v>
      </c>
      <c r="L631" s="13" t="str">
        <f>HYPERLINK("http://asia.ensembl.org/Homo_sapiens/Gene/Summary?g=ENSG00000256977", "ENSG00000256977")</f>
        <v>ENSG00000256977</v>
      </c>
      <c r="M631" s="12" t="s">
        <v>10266</v>
      </c>
      <c r="N631" s="12" t="s">
        <v>10267</v>
      </c>
    </row>
    <row r="632" spans="1:14">
      <c r="A632" s="12" t="s">
        <v>557</v>
      </c>
      <c r="B632" s="8">
        <v>3492.72417425502</v>
      </c>
      <c r="C632" s="12">
        <v>1313.30323184503</v>
      </c>
      <c r="D632" s="8">
        <v>1.41115265327373</v>
      </c>
      <c r="E632" s="12">
        <v>8.9814611937704997E-4</v>
      </c>
      <c r="F632" s="8" t="s">
        <v>558</v>
      </c>
      <c r="G632" s="12" t="s">
        <v>362</v>
      </c>
      <c r="H632" s="12">
        <v>1</v>
      </c>
      <c r="I632" s="13" t="str">
        <f>HYPERLINK("http://www.ncbi.nlm.nih.gov/gene/51727", "51727")</f>
        <v>51727</v>
      </c>
      <c r="J632" s="12" t="s">
        <v>12018</v>
      </c>
      <c r="K632" s="12" t="s">
        <v>12019</v>
      </c>
      <c r="L632" s="13" t="str">
        <f>HYPERLINK("http://asia.ensembl.org/Homo_sapiens/Gene/Summary?g=ENSG00000162368", "ENSG00000162368")</f>
        <v>ENSG00000162368</v>
      </c>
      <c r="M632" s="12" t="s">
        <v>12020</v>
      </c>
      <c r="N632" s="12" t="s">
        <v>12021</v>
      </c>
    </row>
    <row r="633" spans="1:14">
      <c r="A633" s="12" t="s">
        <v>5070</v>
      </c>
      <c r="B633" s="8">
        <v>3230.61612488631</v>
      </c>
      <c r="C633" s="12">
        <v>1215.3367867034499</v>
      </c>
      <c r="D633" s="8">
        <v>1.41045317375205</v>
      </c>
      <c r="E633" s="12">
        <v>9.4677210034374796E-3</v>
      </c>
      <c r="F633" s="8" t="s">
        <v>5071</v>
      </c>
      <c r="G633" s="12" t="s">
        <v>5072</v>
      </c>
      <c r="H633" s="12">
        <v>1</v>
      </c>
      <c r="I633" s="13" t="str">
        <f>HYPERLINK("http://www.ncbi.nlm.nih.gov/gene/126231", "126231")</f>
        <v>126231</v>
      </c>
      <c r="J633" s="12" t="s">
        <v>13564</v>
      </c>
      <c r="K633" s="12" t="s">
        <v>13565</v>
      </c>
      <c r="L633" s="13" t="str">
        <f>HYPERLINK("http://asia.ensembl.org/Homo_sapiens/Gene/Summary?g=ENSG00000189144", "ENSG00000189144")</f>
        <v>ENSG00000189144</v>
      </c>
      <c r="M633" s="12" t="s">
        <v>13566</v>
      </c>
      <c r="N633" s="12" t="s">
        <v>13567</v>
      </c>
    </row>
    <row r="634" spans="1:14">
      <c r="A634" s="12" t="s">
        <v>10766</v>
      </c>
      <c r="B634" s="8">
        <v>1733.4440459140401</v>
      </c>
      <c r="C634" s="12">
        <v>652.19802264653902</v>
      </c>
      <c r="D634" s="8">
        <v>1.41025929613501</v>
      </c>
      <c r="E634" s="12">
        <v>4.4573001495095098E-3</v>
      </c>
      <c r="F634" s="8" t="s">
        <v>8519</v>
      </c>
      <c r="G634" s="12" t="s">
        <v>15841</v>
      </c>
      <c r="H634" s="12">
        <v>1</v>
      </c>
      <c r="I634" s="13" t="str">
        <f>HYPERLINK("http://www.ncbi.nlm.nih.gov/gene/8774", "8774")</f>
        <v>8774</v>
      </c>
      <c r="J634" s="13" t="str">
        <f>HYPERLINK("http://www.ncbi.nlm.nih.gov/nuccore/NM_003826", "NM_003826")</f>
        <v>NM_003826</v>
      </c>
      <c r="K634" s="12" t="s">
        <v>8520</v>
      </c>
      <c r="L634" s="13" t="str">
        <f>HYPERLINK("http://asia.ensembl.org/Homo_sapiens/Gene/Summary?g=ENSG00000134265", "ENSG00000134265")</f>
        <v>ENSG00000134265</v>
      </c>
      <c r="M634" s="12" t="s">
        <v>15842</v>
      </c>
      <c r="N634" s="12" t="s">
        <v>15843</v>
      </c>
    </row>
    <row r="635" spans="1:14">
      <c r="A635" s="12" t="s">
        <v>10501</v>
      </c>
      <c r="B635" s="8">
        <v>1562.2055044108499</v>
      </c>
      <c r="C635" s="12">
        <v>587.78425135974999</v>
      </c>
      <c r="D635" s="8">
        <v>1.4102256389022501</v>
      </c>
      <c r="E635" s="12">
        <v>1.6244725223824199E-3</v>
      </c>
      <c r="F635" s="8" t="s">
        <v>699</v>
      </c>
      <c r="G635" s="12" t="s">
        <v>700</v>
      </c>
      <c r="H635" s="12">
        <v>1</v>
      </c>
      <c r="I635" s="13" t="str">
        <f>HYPERLINK("http://www.ncbi.nlm.nih.gov/gene/57478", "57478")</f>
        <v>57478</v>
      </c>
      <c r="J635" s="13" t="str">
        <f>HYPERLINK("http://www.ncbi.nlm.nih.gov/nuccore/NM_020718", "NM_020718")</f>
        <v>NM_020718</v>
      </c>
      <c r="K635" s="12" t="s">
        <v>701</v>
      </c>
      <c r="L635" s="13" t="str">
        <f>HYPERLINK("http://asia.ensembl.org/Homo_sapiens/Gene/Summary?g=ENSG00000103404", "ENSG00000103404")</f>
        <v>ENSG00000103404</v>
      </c>
      <c r="M635" s="12" t="s">
        <v>15492</v>
      </c>
      <c r="N635" s="12" t="s">
        <v>15493</v>
      </c>
    </row>
    <row r="636" spans="1:14">
      <c r="A636" s="12" t="s">
        <v>942</v>
      </c>
      <c r="B636" s="8">
        <v>841.77229097392706</v>
      </c>
      <c r="C636" s="12">
        <v>317.091416993964</v>
      </c>
      <c r="D636" s="8">
        <v>1.4085311933573099</v>
      </c>
      <c r="E636" s="12">
        <v>3.1618741868968698E-3</v>
      </c>
      <c r="F636" s="8" t="s">
        <v>943</v>
      </c>
      <c r="G636" s="12" t="s">
        <v>944</v>
      </c>
      <c r="H636" s="12">
        <v>1</v>
      </c>
      <c r="I636" s="13" t="str">
        <f>HYPERLINK("http://www.ncbi.nlm.nih.gov/gene/51191", "51191")</f>
        <v>51191</v>
      </c>
      <c r="J636" s="13" t="str">
        <f>HYPERLINK("http://www.ncbi.nlm.nih.gov/nuccore/NM_016323", "NM_016323")</f>
        <v>NM_016323</v>
      </c>
      <c r="K636" s="12" t="s">
        <v>945</v>
      </c>
      <c r="L636" s="13" t="str">
        <f>HYPERLINK("http://asia.ensembl.org/Homo_sapiens/Gene/Summary?g=ENSG00000138646", "ENSG00000138646")</f>
        <v>ENSG00000138646</v>
      </c>
      <c r="M636" s="12" t="s">
        <v>12168</v>
      </c>
      <c r="N636" s="12" t="s">
        <v>12169</v>
      </c>
    </row>
    <row r="637" spans="1:14">
      <c r="A637" s="12" t="s">
        <v>4681</v>
      </c>
      <c r="B637" s="8">
        <v>1533.77407837275</v>
      </c>
      <c r="C637" s="12">
        <v>578.19037983046201</v>
      </c>
      <c r="D637" s="8">
        <v>1.40746948263613</v>
      </c>
      <c r="E637" s="12">
        <v>2.3289911443828098E-3</v>
      </c>
      <c r="F637" s="8" t="s">
        <v>4682</v>
      </c>
      <c r="G637" s="12" t="s">
        <v>13344</v>
      </c>
      <c r="H637" s="12">
        <v>1</v>
      </c>
      <c r="I637" s="13" t="str">
        <f>HYPERLINK("http://www.ncbi.nlm.nih.gov/gene/19", "19")</f>
        <v>19</v>
      </c>
      <c r="J637" s="13" t="str">
        <f>HYPERLINK("http://www.ncbi.nlm.nih.gov/nuccore/NM_005502", "NM_005502")</f>
        <v>NM_005502</v>
      </c>
      <c r="K637" s="12" t="s">
        <v>4683</v>
      </c>
      <c r="L637" s="13" t="str">
        <f>HYPERLINK("http://asia.ensembl.org/Homo_sapiens/Gene/Summary?g=ENSG00000165029", "ENSG00000165029")</f>
        <v>ENSG00000165029</v>
      </c>
      <c r="M637" s="12" t="s">
        <v>13345</v>
      </c>
      <c r="N637" s="12" t="s">
        <v>13346</v>
      </c>
    </row>
    <row r="638" spans="1:14">
      <c r="A638" s="12" t="s">
        <v>3208</v>
      </c>
      <c r="B638" s="8">
        <v>340.38226131867498</v>
      </c>
      <c r="C638" s="12">
        <v>128.31706666647199</v>
      </c>
      <c r="D638" s="8">
        <v>1.4074427871596</v>
      </c>
      <c r="E638" s="12">
        <v>1.73407044587344E-2</v>
      </c>
      <c r="F638" s="8" t="s">
        <v>3209</v>
      </c>
      <c r="G638" s="12" t="s">
        <v>1216</v>
      </c>
      <c r="H638" s="12">
        <v>1</v>
      </c>
      <c r="I638" s="13" t="str">
        <f>HYPERLINK("http://www.ncbi.nlm.nih.gov/gene/5422", "5422")</f>
        <v>5422</v>
      </c>
      <c r="J638" s="13" t="str">
        <f>HYPERLINK("http://www.ncbi.nlm.nih.gov/nuccore/NM_016937", "NM_016937")</f>
        <v>NM_016937</v>
      </c>
      <c r="K638" s="12" t="s">
        <v>3210</v>
      </c>
      <c r="L638" s="13" t="str">
        <f>HYPERLINK("http://asia.ensembl.org/Homo_sapiens/Gene/Summary?g=ENSG00000101868", "ENSG00000101868")</f>
        <v>ENSG00000101868</v>
      </c>
      <c r="M638" s="12" t="s">
        <v>12905</v>
      </c>
      <c r="N638" s="12" t="s">
        <v>12906</v>
      </c>
    </row>
    <row r="639" spans="1:14">
      <c r="A639" s="12" t="s">
        <v>9578</v>
      </c>
      <c r="B639" s="8">
        <v>472.33514283476399</v>
      </c>
      <c r="C639" s="12">
        <v>178.15225670678899</v>
      </c>
      <c r="D639" s="8">
        <v>1.4067001207257399</v>
      </c>
      <c r="E639" s="12">
        <v>3.2919755501925798E-3</v>
      </c>
      <c r="F639" s="8" t="s">
        <v>9579</v>
      </c>
      <c r="G639" s="12" t="s">
        <v>9580</v>
      </c>
      <c r="H639" s="12">
        <v>1</v>
      </c>
      <c r="I639" s="13" t="str">
        <f>HYPERLINK("http://www.ncbi.nlm.nih.gov/gene/196968", "196968")</f>
        <v>196968</v>
      </c>
      <c r="J639" s="13" t="str">
        <f>HYPERLINK("http://www.ncbi.nlm.nih.gov/nuccore/NR_003260", "NR_003260")</f>
        <v>NR_003260</v>
      </c>
      <c r="K639" s="12" t="s">
        <v>199</v>
      </c>
      <c r="L639" s="13" t="str">
        <f>HYPERLINK("http://asia.ensembl.org/Homo_sapiens/Gene/Summary?g=ENSG00000182397", "ENSG00000182397")</f>
        <v>ENSG00000182397</v>
      </c>
      <c r="M639" s="12" t="s">
        <v>15085</v>
      </c>
    </row>
    <row r="640" spans="1:14">
      <c r="A640" s="12" t="s">
        <v>9987</v>
      </c>
      <c r="B640" s="8">
        <v>436.77882911079001</v>
      </c>
      <c r="C640" s="12">
        <v>164.76165676400899</v>
      </c>
      <c r="D640" s="8">
        <v>1.40652239135976</v>
      </c>
      <c r="E640" s="12">
        <v>1.39675786707288E-2</v>
      </c>
      <c r="F640" s="8" t="s">
        <v>5363</v>
      </c>
      <c r="G640" s="12" t="s">
        <v>5364</v>
      </c>
      <c r="H640" s="12">
        <v>1</v>
      </c>
      <c r="I640" s="13" t="str">
        <f>HYPERLINK("http://www.ncbi.nlm.nih.gov/gene/55917", "55917")</f>
        <v>55917</v>
      </c>
      <c r="J640" s="13" t="str">
        <f>HYPERLINK("http://www.ncbi.nlm.nih.gov/nuccore/NM_018704", "NM_018704")</f>
        <v>NM_018704</v>
      </c>
      <c r="K640" s="12" t="s">
        <v>5365</v>
      </c>
      <c r="L640" s="13" t="str">
        <f>HYPERLINK("http://asia.ensembl.org/Homo_sapiens/Gene/Summary?g=ENSG00000143079", "ENSG00000143079")</f>
        <v>ENSG00000143079</v>
      </c>
      <c r="M640" s="12" t="s">
        <v>15270</v>
      </c>
      <c r="N640" s="12" t="s">
        <v>15271</v>
      </c>
    </row>
    <row r="641" spans="1:14">
      <c r="A641" s="12" t="s">
        <v>7494</v>
      </c>
      <c r="B641" s="8">
        <v>248.67178259139601</v>
      </c>
      <c r="C641" s="12">
        <v>93.810461656003298</v>
      </c>
      <c r="D641" s="8">
        <v>1.4064220857876799</v>
      </c>
      <c r="E641" s="12">
        <v>1.46698676979786E-3</v>
      </c>
      <c r="F641" s="8" t="s">
        <v>7495</v>
      </c>
      <c r="G641" s="12" t="s">
        <v>14443</v>
      </c>
      <c r="H641" s="12">
        <v>1</v>
      </c>
      <c r="I641" s="13" t="str">
        <f>HYPERLINK("http://www.ncbi.nlm.nih.gov/gene/4801", "4801")</f>
        <v>4801</v>
      </c>
      <c r="J641" s="13" t="str">
        <f>HYPERLINK("http://www.ncbi.nlm.nih.gov/nuccore/NM_006166", "NM_006166")</f>
        <v>NM_006166</v>
      </c>
      <c r="K641" s="12" t="s">
        <v>7496</v>
      </c>
      <c r="L641" s="13" t="str">
        <f>HYPERLINK("http://asia.ensembl.org/Homo_sapiens/Gene/Summary?g=ENSG00000120837", "ENSG00000120837")</f>
        <v>ENSG00000120837</v>
      </c>
      <c r="M641" s="12" t="s">
        <v>14444</v>
      </c>
      <c r="N641" s="12" t="s">
        <v>14445</v>
      </c>
    </row>
    <row r="642" spans="1:14">
      <c r="A642" s="12" t="s">
        <v>10788</v>
      </c>
      <c r="B642" s="8">
        <v>284.86210064623799</v>
      </c>
      <c r="C642" s="12">
        <v>107.528401193229</v>
      </c>
      <c r="D642" s="8">
        <v>1.40554592631126</v>
      </c>
      <c r="E642" s="12">
        <v>3.0596492176006998E-3</v>
      </c>
      <c r="F642" s="8" t="s">
        <v>831</v>
      </c>
      <c r="G642" s="12" t="s">
        <v>832</v>
      </c>
      <c r="H642" s="12">
        <v>1</v>
      </c>
      <c r="I642" s="13" t="str">
        <f>HYPERLINK("http://www.ncbi.nlm.nih.gov/gene/84864", "84864")</f>
        <v>84864</v>
      </c>
      <c r="J642" s="12" t="s">
        <v>15886</v>
      </c>
      <c r="K642" s="12" t="s">
        <v>15887</v>
      </c>
      <c r="L642" s="13" t="str">
        <f>HYPERLINK("http://asia.ensembl.org/Homo_sapiens/Gene/Summary?g=ENSG00000170854", "ENSG00000170854")</f>
        <v>ENSG00000170854</v>
      </c>
      <c r="M642" s="12" t="s">
        <v>15888</v>
      </c>
      <c r="N642" s="12" t="s">
        <v>15889</v>
      </c>
    </row>
    <row r="643" spans="1:14">
      <c r="A643" s="12" t="s">
        <v>11206</v>
      </c>
      <c r="B643" s="8">
        <v>411.98713585093702</v>
      </c>
      <c r="C643" s="12">
        <v>155.52142383408199</v>
      </c>
      <c r="D643" s="8">
        <v>1.4054859581630701</v>
      </c>
      <c r="E643" s="12">
        <v>9.8631711481373605E-3</v>
      </c>
      <c r="F643" s="15" t="s">
        <v>5099</v>
      </c>
      <c r="G643" s="12" t="s">
        <v>5100</v>
      </c>
      <c r="H643" s="12">
        <v>1</v>
      </c>
      <c r="I643" s="13" t="str">
        <f>HYPERLINK("http://www.ncbi.nlm.nih.gov/gene/10000", "10000")</f>
        <v>10000</v>
      </c>
      <c r="J643" s="13" t="str">
        <f>HYPERLINK("http://www.ncbi.nlm.nih.gov/nuccore/NM_005465", "NM_005465")</f>
        <v>NM_005465</v>
      </c>
      <c r="K643" s="12" t="s">
        <v>5101</v>
      </c>
      <c r="L643" s="13" t="str">
        <f>HYPERLINK("http://asia.ensembl.org/Homo_sapiens/Gene/Summary?g=ENSG00000117020", "ENSG00000117020")</f>
        <v>ENSG00000117020</v>
      </c>
      <c r="M643" s="12" t="s">
        <v>13587</v>
      </c>
      <c r="N643" s="12" t="s">
        <v>13588</v>
      </c>
    </row>
    <row r="644" spans="1:14">
      <c r="A644" s="12" t="s">
        <v>7413</v>
      </c>
      <c r="B644" s="8">
        <v>269.25204340276599</v>
      </c>
      <c r="C644" s="12">
        <v>101.688117257781</v>
      </c>
      <c r="D644" s="8">
        <v>1.4048061904482401</v>
      </c>
      <c r="E644" s="12">
        <v>8.8983869805288399E-3</v>
      </c>
      <c r="F644" s="8" t="s">
        <v>7414</v>
      </c>
      <c r="G644" s="12" t="s">
        <v>7415</v>
      </c>
      <c r="H644" s="12">
        <v>1</v>
      </c>
      <c r="I644" s="13" t="str">
        <f>HYPERLINK("http://www.ncbi.nlm.nih.gov/gene/58499", "58499")</f>
        <v>58499</v>
      </c>
      <c r="J644" s="13" t="str">
        <f>HYPERLINK("http://www.ncbi.nlm.nih.gov/nuccore/NM_021224", "NM_021224")</f>
        <v>NM_021224</v>
      </c>
      <c r="K644" s="12" t="s">
        <v>7416</v>
      </c>
      <c r="L644" s="13" t="str">
        <f>HYPERLINK("http://asia.ensembl.org/Homo_sapiens/Gene/Summary?g=ENSG00000148143", "ENSG00000148143")</f>
        <v>ENSG00000148143</v>
      </c>
      <c r="M644" s="12" t="s">
        <v>14424</v>
      </c>
      <c r="N644" s="12" t="s">
        <v>14425</v>
      </c>
    </row>
    <row r="645" spans="1:14">
      <c r="A645" s="12" t="s">
        <v>6151</v>
      </c>
      <c r="B645" s="8">
        <v>436.285111920009</v>
      </c>
      <c r="C645" s="12">
        <v>164.79754864043201</v>
      </c>
      <c r="D645" s="8">
        <v>1.40457646045359</v>
      </c>
      <c r="E645" s="12">
        <v>1.22521239153242E-3</v>
      </c>
      <c r="F645" s="8" t="s">
        <v>6152</v>
      </c>
      <c r="G645" s="12" t="s">
        <v>6153</v>
      </c>
      <c r="H645" s="12">
        <v>1</v>
      </c>
      <c r="I645" s="13" t="str">
        <f>HYPERLINK("http://www.ncbi.nlm.nih.gov/gene/5311", "5311")</f>
        <v>5311</v>
      </c>
      <c r="J645" s="13" t="str">
        <f>HYPERLINK("http://www.ncbi.nlm.nih.gov/nuccore/NM_000297", "NM_000297")</f>
        <v>NM_000297</v>
      </c>
      <c r="K645" s="12" t="s">
        <v>6154</v>
      </c>
      <c r="L645" s="13" t="str">
        <f>HYPERLINK("http://asia.ensembl.org/Homo_sapiens/Gene/Summary?g=ENSG00000118762", "ENSG00000118762")</f>
        <v>ENSG00000118762</v>
      </c>
      <c r="M645" s="12" t="s">
        <v>14068</v>
      </c>
      <c r="N645" s="12" t="s">
        <v>14069</v>
      </c>
    </row>
    <row r="646" spans="1:14">
      <c r="A646" s="12" t="s">
        <v>4781</v>
      </c>
      <c r="B646" s="8">
        <v>241.77353094372501</v>
      </c>
      <c r="C646" s="12">
        <v>91.331577141029896</v>
      </c>
      <c r="D646" s="8">
        <v>1.4044706573229699</v>
      </c>
      <c r="E646" s="12">
        <v>8.8446717784091793E-3</v>
      </c>
      <c r="F646" s="8" t="s">
        <v>4782</v>
      </c>
      <c r="G646" s="12" t="s">
        <v>13383</v>
      </c>
      <c r="H646" s="12">
        <v>1</v>
      </c>
      <c r="I646" s="13" t="str">
        <f>HYPERLINK("http://www.ncbi.nlm.nih.gov/gene/6197", "6197")</f>
        <v>6197</v>
      </c>
      <c r="J646" s="13" t="str">
        <f>HYPERLINK("http://www.ncbi.nlm.nih.gov/nuccore/NM_004586", "NM_004586")</f>
        <v>NM_004586</v>
      </c>
      <c r="K646" s="12" t="s">
        <v>4783</v>
      </c>
      <c r="L646" s="13" t="str">
        <f>HYPERLINK("http://asia.ensembl.org/Homo_sapiens/Gene/Summary?g=ENSG00000177189", "ENSG00000177189")</f>
        <v>ENSG00000177189</v>
      </c>
      <c r="M646" s="12" t="s">
        <v>13384</v>
      </c>
      <c r="N646" s="12" t="s">
        <v>13385</v>
      </c>
    </row>
    <row r="647" spans="1:14">
      <c r="A647" s="12" t="s">
        <v>8005</v>
      </c>
      <c r="B647" s="8">
        <v>7836.76364658492</v>
      </c>
      <c r="C647" s="12">
        <v>2960.4050646783999</v>
      </c>
      <c r="D647" s="8">
        <v>1.40446339696777</v>
      </c>
      <c r="E647" s="12">
        <v>3.3120517397893399E-3</v>
      </c>
      <c r="F647" s="8" t="s">
        <v>8006</v>
      </c>
      <c r="G647" s="12" t="s">
        <v>14642</v>
      </c>
      <c r="H647" s="12">
        <v>1</v>
      </c>
      <c r="I647" s="13" t="str">
        <f>HYPERLINK("http://www.ncbi.nlm.nih.gov/gene/6443", "6443")</f>
        <v>6443</v>
      </c>
      <c r="J647" s="13" t="str">
        <f>HYPERLINK("http://www.ncbi.nlm.nih.gov/nuccore/NM_000232", "NM_000232")</f>
        <v>NM_000232</v>
      </c>
      <c r="K647" s="12" t="s">
        <v>8007</v>
      </c>
      <c r="L647" s="13" t="str">
        <f>HYPERLINK("http://asia.ensembl.org/Homo_sapiens/Gene/Summary?g=ENSG00000163069", "ENSG00000163069")</f>
        <v>ENSG00000163069</v>
      </c>
      <c r="M647" s="12" t="s">
        <v>14643</v>
      </c>
      <c r="N647" s="12" t="s">
        <v>14644</v>
      </c>
    </row>
    <row r="648" spans="1:14">
      <c r="A648" s="12" t="s">
        <v>10653</v>
      </c>
      <c r="B648" s="8">
        <v>462.209377836415</v>
      </c>
      <c r="C648" s="12">
        <v>174.69266025740501</v>
      </c>
      <c r="D648" s="8">
        <v>1.4037275367175499</v>
      </c>
      <c r="E648" s="12">
        <v>1.87191352508733E-3</v>
      </c>
      <c r="F648" s="8" t="s">
        <v>5474</v>
      </c>
      <c r="G648" s="12" t="s">
        <v>5475</v>
      </c>
      <c r="H648" s="12">
        <v>1</v>
      </c>
      <c r="I648" s="13" t="str">
        <f>HYPERLINK("http://www.ncbi.nlm.nih.gov/gene/9659", "9659")</f>
        <v>9659</v>
      </c>
      <c r="J648" s="12" t="s">
        <v>15676</v>
      </c>
      <c r="K648" s="12" t="s">
        <v>15677</v>
      </c>
      <c r="L648" s="13" t="str">
        <f>HYPERLINK("http://asia.ensembl.org/Homo_sapiens/Gene/Summary?g=ENSG00000178104", "ENSG00000178104")</f>
        <v>ENSG00000178104</v>
      </c>
      <c r="M648" s="12" t="s">
        <v>15678</v>
      </c>
      <c r="N648" s="12" t="s">
        <v>15679</v>
      </c>
    </row>
    <row r="649" spans="1:14">
      <c r="A649" s="12" t="s">
        <v>9837</v>
      </c>
      <c r="B649" s="8">
        <v>6822.8959794912398</v>
      </c>
      <c r="C649" s="12">
        <v>2579.4151319805901</v>
      </c>
      <c r="D649" s="8">
        <v>1.4033402417644201</v>
      </c>
      <c r="E649" s="12">
        <v>6.2251062204885898E-4</v>
      </c>
      <c r="F649" s="8" t="s">
        <v>4218</v>
      </c>
      <c r="G649" s="12" t="s">
        <v>4219</v>
      </c>
      <c r="H649" s="12">
        <v>1</v>
      </c>
      <c r="I649" s="13" t="str">
        <f>HYPERLINK("http://www.ncbi.nlm.nih.gov/gene/4238", "4238")</f>
        <v>4238</v>
      </c>
      <c r="J649" s="12" t="s">
        <v>15194</v>
      </c>
      <c r="K649" s="12" t="s">
        <v>15195</v>
      </c>
      <c r="L649" s="13" t="str">
        <f>HYPERLINK("http://asia.ensembl.org/Homo_sapiens/Gene/Summary?g=ENSG00000037749", "ENSG00000037749")</f>
        <v>ENSG00000037749</v>
      </c>
      <c r="M649" s="12" t="s">
        <v>15196</v>
      </c>
      <c r="N649" s="12" t="s">
        <v>15197</v>
      </c>
    </row>
    <row r="650" spans="1:14">
      <c r="A650" s="12" t="s">
        <v>1412</v>
      </c>
      <c r="B650" s="8">
        <v>1073.9532812446801</v>
      </c>
      <c r="C650" s="12">
        <v>406.23305339979498</v>
      </c>
      <c r="D650" s="8">
        <v>1.40255169976955</v>
      </c>
      <c r="E650" s="12">
        <v>3.9218805211421997E-3</v>
      </c>
      <c r="F650" s="8" t="s">
        <v>1413</v>
      </c>
      <c r="G650" s="12" t="s">
        <v>1414</v>
      </c>
      <c r="H650" s="12">
        <v>1</v>
      </c>
      <c r="I650" s="13" t="str">
        <f>HYPERLINK("http://www.ncbi.nlm.nih.gov/gene/144402", "144402")</f>
        <v>144402</v>
      </c>
      <c r="J650" s="13" t="str">
        <f>HYPERLINK("http://www.ncbi.nlm.nih.gov/nuccore/NM_153634", "NM_153634")</f>
        <v>NM_153634</v>
      </c>
      <c r="K650" s="12" t="s">
        <v>1415</v>
      </c>
      <c r="L650" s="13" t="str">
        <f>HYPERLINK("http://asia.ensembl.org/Homo_sapiens/Gene/Summary?g=ENSG00000139117", "ENSG00000139117")</f>
        <v>ENSG00000139117</v>
      </c>
      <c r="M650" s="12" t="s">
        <v>12330</v>
      </c>
      <c r="N650" s="12" t="s">
        <v>12331</v>
      </c>
    </row>
    <row r="651" spans="1:14">
      <c r="A651" s="12" t="s">
        <v>64</v>
      </c>
      <c r="B651" s="8">
        <v>308.57833946031099</v>
      </c>
      <c r="C651" s="12">
        <v>116.813336607102</v>
      </c>
      <c r="D651" s="8">
        <v>1.40143179956505</v>
      </c>
      <c r="E651" s="12">
        <v>1.5641599256230199E-2</v>
      </c>
      <c r="F651" s="8" t="s">
        <v>65</v>
      </c>
      <c r="G651" s="12" t="s">
        <v>11847</v>
      </c>
      <c r="H651" s="12">
        <v>1</v>
      </c>
      <c r="I651" s="13" t="str">
        <f>HYPERLINK("http://www.ncbi.nlm.nih.gov/gene/3620", "3620")</f>
        <v>3620</v>
      </c>
      <c r="J651" s="13" t="str">
        <f>HYPERLINK("http://www.ncbi.nlm.nih.gov/nuccore/NM_002164", "NM_002164")</f>
        <v>NM_002164</v>
      </c>
      <c r="K651" s="12" t="s">
        <v>66</v>
      </c>
      <c r="L651" s="13" t="str">
        <f>HYPERLINK("http://asia.ensembl.org/Homo_sapiens/Gene/Summary?g=ENSG00000131203", "ENSG00000131203")</f>
        <v>ENSG00000131203</v>
      </c>
      <c r="M651" s="12" t="s">
        <v>11848</v>
      </c>
      <c r="N651" s="12" t="s">
        <v>11849</v>
      </c>
    </row>
    <row r="652" spans="1:14">
      <c r="A652" s="12" t="s">
        <v>1111</v>
      </c>
      <c r="B652" s="8">
        <v>976.89164840799299</v>
      </c>
      <c r="C652" s="12">
        <v>370.07443091852798</v>
      </c>
      <c r="D652" s="8">
        <v>1.4003830942665201</v>
      </c>
      <c r="E652" s="12">
        <v>4.3936747753865503E-3</v>
      </c>
      <c r="F652" s="8" t="s">
        <v>1112</v>
      </c>
      <c r="G652" s="12" t="s">
        <v>1113</v>
      </c>
      <c r="H652" s="12">
        <v>1</v>
      </c>
      <c r="I652" s="13" t="str">
        <f>HYPERLINK("http://www.ncbi.nlm.nih.gov/gene/56987", "56987")</f>
        <v>56987</v>
      </c>
      <c r="J652" s="12" t="s">
        <v>12232</v>
      </c>
      <c r="K652" s="12" t="s">
        <v>12233</v>
      </c>
      <c r="L652" s="13" t="str">
        <f>HYPERLINK("http://asia.ensembl.org/Homo_sapiens/Gene/Summary?g=ENSG00000114439", "ENSG00000114439")</f>
        <v>ENSG00000114439</v>
      </c>
      <c r="M652" s="12" t="s">
        <v>12234</v>
      </c>
      <c r="N652" s="12" t="s">
        <v>12235</v>
      </c>
    </row>
    <row r="653" spans="1:14">
      <c r="A653" s="12" t="s">
        <v>4899</v>
      </c>
      <c r="B653" s="8">
        <v>3342.2454563239698</v>
      </c>
      <c r="C653" s="12">
        <v>1266.2702997285601</v>
      </c>
      <c r="D653" s="8">
        <v>1.40023229237209</v>
      </c>
      <c r="E653" s="12">
        <v>1.3324780318571001E-3</v>
      </c>
      <c r="F653" s="8" t="s">
        <v>4900</v>
      </c>
      <c r="G653" s="12" t="s">
        <v>4901</v>
      </c>
      <c r="H653" s="12">
        <v>1</v>
      </c>
      <c r="I653" s="13" t="str">
        <f>HYPERLINK("http://www.ncbi.nlm.nih.gov/gene/254528", "254528")</f>
        <v>254528</v>
      </c>
      <c r="J653" s="12" t="s">
        <v>13458</v>
      </c>
      <c r="K653" s="12" t="s">
        <v>13459</v>
      </c>
      <c r="L653" s="13" t="str">
        <f>HYPERLINK("http://asia.ensembl.org/Homo_sapiens/Gene/Summary?g=ENSG00000162039", "ENSG00000162039")</f>
        <v>ENSG00000162039</v>
      </c>
      <c r="M653" s="12" t="s">
        <v>13460</v>
      </c>
      <c r="N653" s="12" t="s">
        <v>13461</v>
      </c>
    </row>
    <row r="654" spans="1:14">
      <c r="A654" s="12" t="s">
        <v>2756</v>
      </c>
      <c r="B654" s="8">
        <v>227.16939843681999</v>
      </c>
      <c r="C654" s="12">
        <v>86.118920209290394</v>
      </c>
      <c r="D654" s="8">
        <v>1.3993663695008001</v>
      </c>
      <c r="E654" s="12">
        <v>2.0298437822988602E-3</v>
      </c>
      <c r="F654" s="8" t="s">
        <v>2757</v>
      </c>
      <c r="G654" s="12" t="s">
        <v>12773</v>
      </c>
      <c r="H654" s="12">
        <v>1</v>
      </c>
      <c r="I654" s="13" t="str">
        <f>HYPERLINK("http://www.ncbi.nlm.nih.gov/gene/79411", "79411")</f>
        <v>79411</v>
      </c>
      <c r="J654" s="13" t="str">
        <f>HYPERLINK("http://www.ncbi.nlm.nih.gov/nuccore/NM_024506", "NM_024506")</f>
        <v>NM_024506</v>
      </c>
      <c r="K654" s="12" t="s">
        <v>2758</v>
      </c>
      <c r="L654" s="13" t="str">
        <f>HYPERLINK("http://asia.ensembl.org/Homo_sapiens/Gene/Summary?g=ENSG00000163521", "ENSG00000163521")</f>
        <v>ENSG00000163521</v>
      </c>
      <c r="M654" s="12" t="s">
        <v>12774</v>
      </c>
      <c r="N654" s="12" t="s">
        <v>12775</v>
      </c>
    </row>
    <row r="655" spans="1:14">
      <c r="A655" s="12" t="s">
        <v>5212</v>
      </c>
      <c r="B655" s="8">
        <v>20288.8836493212</v>
      </c>
      <c r="C655" s="12">
        <v>7695.7726758979998</v>
      </c>
      <c r="D655" s="8">
        <v>1.3985513968638801</v>
      </c>
      <c r="E655" s="12">
        <v>1.1508861567756999E-3</v>
      </c>
      <c r="F655" s="8" t="s">
        <v>5213</v>
      </c>
      <c r="G655" s="12" t="s">
        <v>5214</v>
      </c>
      <c r="H655" s="12">
        <v>1</v>
      </c>
      <c r="I655" s="13" t="str">
        <f>HYPERLINK("http://www.ncbi.nlm.nih.gov/gene/25805", "25805")</f>
        <v>25805</v>
      </c>
      <c r="J655" s="13" t="str">
        <f>HYPERLINK("http://www.ncbi.nlm.nih.gov/nuccore/NM_012342", "NM_012342")</f>
        <v>NM_012342</v>
      </c>
      <c r="K655" s="12" t="s">
        <v>5215</v>
      </c>
      <c r="L655" s="13" t="str">
        <f>HYPERLINK("http://asia.ensembl.org/Homo_sapiens/Gene/Summary?g=ENSG00000095739", "ENSG00000095739")</f>
        <v>ENSG00000095739</v>
      </c>
      <c r="M655" s="12" t="s">
        <v>13625</v>
      </c>
      <c r="N655" s="12" t="s">
        <v>5216</v>
      </c>
    </row>
    <row r="656" spans="1:14">
      <c r="A656" s="12" t="s">
        <v>11225</v>
      </c>
      <c r="B656" s="8">
        <v>3169.19989952783</v>
      </c>
      <c r="C656" s="12">
        <v>1203.1492302556801</v>
      </c>
      <c r="D656" s="8">
        <v>1.3973030661386201</v>
      </c>
      <c r="E656" s="12">
        <v>1.2839112154033E-2</v>
      </c>
      <c r="F656" s="8" t="s">
        <v>11226</v>
      </c>
      <c r="G656" s="12" t="s">
        <v>11227</v>
      </c>
      <c r="H656" s="12">
        <v>1</v>
      </c>
      <c r="I656" s="13" t="str">
        <f>HYPERLINK("http://www.ncbi.nlm.nih.gov/gene/9747", "9747")</f>
        <v>9747</v>
      </c>
      <c r="J656" s="12" t="s">
        <v>16046</v>
      </c>
      <c r="K656" s="12" t="s">
        <v>16047</v>
      </c>
      <c r="L656" s="13" t="str">
        <f>HYPERLINK("http://asia.ensembl.org/Homo_sapiens/Gene/Summary?g=ENSG00000198420", "ENSG00000198420")</f>
        <v>ENSG00000198420</v>
      </c>
      <c r="M656" s="12" t="s">
        <v>16048</v>
      </c>
      <c r="N656" s="12" t="s">
        <v>16049</v>
      </c>
    </row>
    <row r="657" spans="1:14">
      <c r="A657" s="12" t="s">
        <v>11571</v>
      </c>
      <c r="B657" s="8">
        <v>3615.8420271169798</v>
      </c>
      <c r="C657" s="12">
        <v>1373.0960770429399</v>
      </c>
      <c r="D657" s="8">
        <v>1.3968990731065001</v>
      </c>
      <c r="E657" s="12">
        <v>1.4329435890963299E-5</v>
      </c>
      <c r="F657" s="8" t="s">
        <v>11572</v>
      </c>
      <c r="G657" s="12" t="s">
        <v>11573</v>
      </c>
      <c r="H657" s="12">
        <v>1</v>
      </c>
      <c r="I657" s="13" t="str">
        <f>HYPERLINK("http://www.ncbi.nlm.nih.gov/gene/158434", "158434")</f>
        <v>158434</v>
      </c>
      <c r="J657" s="13" t="str">
        <f>HYPERLINK("http://www.ncbi.nlm.nih.gov/nuccore/NM_001256408", "NM_001256408")</f>
        <v>NM_001256408</v>
      </c>
      <c r="K657" s="12" t="s">
        <v>11574</v>
      </c>
      <c r="L657" s="13" t="str">
        <f>HYPERLINK("http://asia.ensembl.org/Homo_sapiens/Gene/Summary?g=ENSG00000275465", "ENSG00000275465")</f>
        <v>ENSG00000275465</v>
      </c>
      <c r="M657" s="12" t="s">
        <v>16158</v>
      </c>
      <c r="N657" s="12" t="s">
        <v>11575</v>
      </c>
    </row>
    <row r="658" spans="1:14">
      <c r="A658" s="12" t="s">
        <v>1493</v>
      </c>
      <c r="B658" s="8">
        <v>2564.3239632136201</v>
      </c>
      <c r="C658" s="12">
        <v>973.85563480375799</v>
      </c>
      <c r="D658" s="8">
        <v>1.3967987090627301</v>
      </c>
      <c r="E658" s="12">
        <v>8.0250293227002601E-3</v>
      </c>
      <c r="F658" s="8" t="s">
        <v>1494</v>
      </c>
      <c r="G658" s="12" t="s">
        <v>1495</v>
      </c>
      <c r="H658" s="12">
        <v>1</v>
      </c>
      <c r="I658" s="13" t="str">
        <f>HYPERLINK("http://www.ncbi.nlm.nih.gov/gene/10928", "10928")</f>
        <v>10928</v>
      </c>
      <c r="J658" s="13" t="str">
        <f>HYPERLINK("http://www.ncbi.nlm.nih.gov/nuccore/NM_006788", "NM_006788")</f>
        <v>NM_006788</v>
      </c>
      <c r="K658" s="12" t="s">
        <v>1496</v>
      </c>
      <c r="L658" s="13" t="str">
        <f>HYPERLINK("http://asia.ensembl.org/Homo_sapiens/Gene/Summary?g=ENSG00000017797", "ENSG00000017797")</f>
        <v>ENSG00000017797</v>
      </c>
      <c r="M658" s="12" t="s">
        <v>12340</v>
      </c>
      <c r="N658" s="12" t="s">
        <v>12341</v>
      </c>
    </row>
    <row r="659" spans="1:14">
      <c r="A659" s="12" t="s">
        <v>7901</v>
      </c>
      <c r="B659" s="8">
        <v>1619.7511503283399</v>
      </c>
      <c r="C659" s="12">
        <v>615.30629881865696</v>
      </c>
      <c r="D659" s="8">
        <v>1.3963955159635499</v>
      </c>
      <c r="E659" s="12">
        <v>1.13043353696283E-3</v>
      </c>
      <c r="F659" s="8" t="s">
        <v>4015</v>
      </c>
      <c r="G659" s="12" t="s">
        <v>4016</v>
      </c>
      <c r="H659" s="12">
        <v>1</v>
      </c>
      <c r="I659" s="13" t="str">
        <f>HYPERLINK("http://www.ncbi.nlm.nih.gov/gene/93487", "93487")</f>
        <v>93487</v>
      </c>
      <c r="J659" s="13" t="str">
        <f>HYPERLINK("http://www.ncbi.nlm.nih.gov/nuccore/NM_144578", "NM_144578")</f>
        <v>NM_144578</v>
      </c>
      <c r="K659" s="12" t="s">
        <v>4017</v>
      </c>
      <c r="L659" s="13" t="str">
        <f>HYPERLINK("http://asia.ensembl.org/Homo_sapiens/Gene/Summary?g=ENSG00000168175", "ENSG00000168175")</f>
        <v>ENSG00000168175</v>
      </c>
      <c r="M659" s="12" t="s">
        <v>14604</v>
      </c>
      <c r="N659" s="12" t="s">
        <v>14605</v>
      </c>
    </row>
    <row r="660" spans="1:14">
      <c r="A660" s="12" t="s">
        <v>10278</v>
      </c>
      <c r="B660" s="8">
        <v>11508.499882059499</v>
      </c>
      <c r="C660" s="12">
        <v>4373.8954331683599</v>
      </c>
      <c r="D660" s="8">
        <v>1.3957091569464</v>
      </c>
      <c r="E660" s="12">
        <v>3.1483989598245698E-3</v>
      </c>
      <c r="F660" s="8" t="s">
        <v>5261</v>
      </c>
      <c r="G660" s="12" t="s">
        <v>5262</v>
      </c>
      <c r="H660" s="12">
        <v>1</v>
      </c>
      <c r="I660" s="13" t="str">
        <f>HYPERLINK("http://www.ncbi.nlm.nih.gov/gene/6815", "6815")</f>
        <v>6815</v>
      </c>
      <c r="J660" s="12" t="s">
        <v>15352</v>
      </c>
      <c r="K660" s="12" t="s">
        <v>15353</v>
      </c>
      <c r="L660" s="13" t="str">
        <f>HYPERLINK("http://asia.ensembl.org/Homo_sapiens/Gene/Summary?g=ENSG00000198252", "ENSG00000198252")</f>
        <v>ENSG00000198252</v>
      </c>
      <c r="M660" s="12" t="s">
        <v>15354</v>
      </c>
      <c r="N660" s="12" t="s">
        <v>15355</v>
      </c>
    </row>
    <row r="661" spans="1:14">
      <c r="A661" s="12" t="s">
        <v>3112</v>
      </c>
      <c r="B661" s="8">
        <v>520.225586267106</v>
      </c>
      <c r="C661" s="12">
        <v>197.76782446583201</v>
      </c>
      <c r="D661" s="8">
        <v>1.3953296290075701</v>
      </c>
      <c r="E661" s="12">
        <v>4.7690380320647204E-3</v>
      </c>
      <c r="F661" s="8" t="s">
        <v>3113</v>
      </c>
      <c r="G661" s="12" t="s">
        <v>3114</v>
      </c>
      <c r="H661" s="12">
        <v>1</v>
      </c>
      <c r="I661" s="13" t="str">
        <f>HYPERLINK("http://www.ncbi.nlm.nih.gov/gene/1750", "1750")</f>
        <v>1750</v>
      </c>
      <c r="J661" s="13" t="str">
        <f>HYPERLINK("http://www.ncbi.nlm.nih.gov/nuccore/NM_005222", "NM_005222")</f>
        <v>NM_005222</v>
      </c>
      <c r="K661" s="12" t="s">
        <v>3115</v>
      </c>
      <c r="L661" s="13" t="str">
        <f>HYPERLINK("http://asia.ensembl.org/Homo_sapiens/Gene/Summary?g=ENSG00000006377", "ENSG00000006377")</f>
        <v>ENSG00000006377</v>
      </c>
      <c r="M661" s="12" t="s">
        <v>12889</v>
      </c>
      <c r="N661" s="12" t="s">
        <v>12890</v>
      </c>
    </row>
    <row r="662" spans="1:14">
      <c r="A662" s="12" t="s">
        <v>11248</v>
      </c>
      <c r="B662" s="8">
        <v>1424.95631609058</v>
      </c>
      <c r="C662" s="12">
        <v>541.91188615568399</v>
      </c>
      <c r="D662" s="8">
        <v>1.3947874959570199</v>
      </c>
      <c r="E662" s="12">
        <v>7.6590837944972802E-3</v>
      </c>
      <c r="F662" s="8" t="s">
        <v>38</v>
      </c>
      <c r="G662" s="12" t="s">
        <v>38</v>
      </c>
      <c r="H662" s="12">
        <v>1</v>
      </c>
      <c r="I662" s="12" t="s">
        <v>38</v>
      </c>
      <c r="J662" s="12" t="s">
        <v>38</v>
      </c>
      <c r="K662" s="12" t="s">
        <v>38</v>
      </c>
      <c r="L662" s="13" t="str">
        <f>HYPERLINK("http://asia.ensembl.org/Homo_sapiens/Gene/Summary?g=ENSG00000154114", "ENSG00000154114")</f>
        <v>ENSG00000154114</v>
      </c>
      <c r="M662" s="12" t="s">
        <v>11249</v>
      </c>
      <c r="N662" s="12" t="s">
        <v>16062</v>
      </c>
    </row>
    <row r="663" spans="1:14">
      <c r="A663" s="12" t="s">
        <v>8486</v>
      </c>
      <c r="B663" s="8">
        <v>4586.75143506936</v>
      </c>
      <c r="C663" s="12">
        <v>1745.3916120352501</v>
      </c>
      <c r="D663" s="8">
        <v>1.39392195808745</v>
      </c>
      <c r="E663" s="12">
        <v>6.4634016250232802E-3</v>
      </c>
      <c r="F663" s="8" t="s">
        <v>6683</v>
      </c>
      <c r="G663" s="12" t="s">
        <v>6684</v>
      </c>
      <c r="H663" s="12">
        <v>1</v>
      </c>
      <c r="I663" s="13" t="str">
        <f>HYPERLINK("http://www.ncbi.nlm.nih.gov/gene/6885", "6885")</f>
        <v>6885</v>
      </c>
      <c r="J663" s="12" t="s">
        <v>14759</v>
      </c>
      <c r="K663" s="12" t="s">
        <v>14760</v>
      </c>
      <c r="L663" s="13" t="str">
        <f>HYPERLINK("http://asia.ensembl.org/Homo_sapiens/Gene/Summary?g=ENSG00000135341", "ENSG00000135341")</f>
        <v>ENSG00000135341</v>
      </c>
      <c r="M663" s="12" t="s">
        <v>14238</v>
      </c>
      <c r="N663" s="12" t="s">
        <v>14239</v>
      </c>
    </row>
    <row r="664" spans="1:14">
      <c r="A664" s="12" t="s">
        <v>4977</v>
      </c>
      <c r="B664" s="8">
        <v>131.37984127509401</v>
      </c>
      <c r="C664" s="12">
        <v>49.999999999999901</v>
      </c>
      <c r="D664" s="8">
        <v>1.3937439276879799</v>
      </c>
      <c r="E664" s="12">
        <v>1.13213534157232E-3</v>
      </c>
      <c r="F664" s="8" t="s">
        <v>4978</v>
      </c>
      <c r="G664" s="12" t="s">
        <v>4979</v>
      </c>
      <c r="H664" s="12">
        <v>1</v>
      </c>
      <c r="I664" s="13" t="str">
        <f>HYPERLINK("http://www.ncbi.nlm.nih.gov/gene/27250", "27250")</f>
        <v>27250</v>
      </c>
      <c r="J664" s="12" t="s">
        <v>13516</v>
      </c>
      <c r="K664" s="12" t="s">
        <v>13517</v>
      </c>
      <c r="L664" s="13" t="str">
        <f>HYPERLINK("http://asia.ensembl.org/Homo_sapiens/Gene/Summary?g=ENSG00000150593", "ENSG00000150593")</f>
        <v>ENSG00000150593</v>
      </c>
      <c r="M664" s="12" t="s">
        <v>13518</v>
      </c>
      <c r="N664" s="12" t="s">
        <v>13519</v>
      </c>
    </row>
    <row r="665" spans="1:14">
      <c r="A665" s="12" t="s">
        <v>10640</v>
      </c>
      <c r="B665" s="8">
        <v>4912.9599410069604</v>
      </c>
      <c r="C665" s="12">
        <v>1869.9738415423899</v>
      </c>
      <c r="D665" s="8">
        <v>1.39357438691705</v>
      </c>
      <c r="E665" s="12">
        <v>4.6416971104812502E-3</v>
      </c>
      <c r="F665" s="8" t="s">
        <v>6072</v>
      </c>
      <c r="G665" s="12" t="s">
        <v>6073</v>
      </c>
      <c r="H665" s="12">
        <v>1</v>
      </c>
      <c r="I665" s="13" t="str">
        <f>HYPERLINK("http://www.ncbi.nlm.nih.gov/gene/800", "800")</f>
        <v>800</v>
      </c>
      <c r="J665" s="12" t="s">
        <v>14024</v>
      </c>
      <c r="K665" s="12" t="s">
        <v>14025</v>
      </c>
      <c r="L665" s="13" t="str">
        <f>HYPERLINK("http://asia.ensembl.org/Homo_sapiens/Gene/Summary?g=ENSG00000122786", "ENSG00000122786")</f>
        <v>ENSG00000122786</v>
      </c>
      <c r="M665" s="12" t="s">
        <v>14026</v>
      </c>
      <c r="N665" s="12" t="s">
        <v>14027</v>
      </c>
    </row>
    <row r="666" spans="1:14">
      <c r="A666" s="12" t="s">
        <v>9601</v>
      </c>
      <c r="B666" s="8">
        <v>222.68905779464799</v>
      </c>
      <c r="C666" s="12">
        <v>84.769173062289596</v>
      </c>
      <c r="D666" s="8">
        <v>1.3934190520588801</v>
      </c>
      <c r="E666" s="12">
        <v>1.53254476002353E-2</v>
      </c>
      <c r="F666" s="8" t="s">
        <v>3321</v>
      </c>
      <c r="G666" s="12" t="s">
        <v>3322</v>
      </c>
      <c r="H666" s="12">
        <v>1</v>
      </c>
      <c r="I666" s="13" t="str">
        <f>HYPERLINK("http://www.ncbi.nlm.nih.gov/gene/4076", "4076")</f>
        <v>4076</v>
      </c>
      <c r="J666" s="13" t="str">
        <f>HYPERLINK("http://www.ncbi.nlm.nih.gov/nuccore/NM_005898", "NM_005898")</f>
        <v>NM_005898</v>
      </c>
      <c r="K666" s="12" t="s">
        <v>3323</v>
      </c>
      <c r="L666" s="13" t="str">
        <f>HYPERLINK("http://asia.ensembl.org/Homo_sapiens/Gene/Summary?g=ENSG00000135387", "ENSG00000135387")</f>
        <v>ENSG00000135387</v>
      </c>
      <c r="M666" s="12" t="s">
        <v>15094</v>
      </c>
      <c r="N666" s="12" t="s">
        <v>15095</v>
      </c>
    </row>
    <row r="667" spans="1:14">
      <c r="A667" s="12" t="s">
        <v>5485</v>
      </c>
      <c r="B667" s="8">
        <v>5671.3290409722704</v>
      </c>
      <c r="C667" s="12">
        <v>2159.24765857495</v>
      </c>
      <c r="D667" s="8">
        <v>1.3931581362632699</v>
      </c>
      <c r="E667" s="12">
        <v>2.4725471648203001E-3</v>
      </c>
      <c r="F667" s="8" t="s">
        <v>5486</v>
      </c>
      <c r="G667" s="12" t="s">
        <v>13778</v>
      </c>
      <c r="H667" s="12">
        <v>1</v>
      </c>
      <c r="I667" s="13" t="str">
        <f>HYPERLINK("http://www.ncbi.nlm.nih.gov/gene/3400", "3400")</f>
        <v>3400</v>
      </c>
      <c r="J667" s="13" t="str">
        <f>HYPERLINK("http://www.ncbi.nlm.nih.gov/nuccore/NM_001546", "NM_001546")</f>
        <v>NM_001546</v>
      </c>
      <c r="K667" s="12" t="s">
        <v>5487</v>
      </c>
      <c r="L667" s="13" t="str">
        <f>HYPERLINK("http://asia.ensembl.org/Homo_sapiens/Gene/Summary?g=ENSG00000172201", "ENSG00000172201")</f>
        <v>ENSG00000172201</v>
      </c>
      <c r="M667" s="12" t="s">
        <v>13779</v>
      </c>
      <c r="N667" s="12" t="s">
        <v>13780</v>
      </c>
    </row>
    <row r="668" spans="1:14">
      <c r="A668" s="12" t="s">
        <v>11164</v>
      </c>
      <c r="B668" s="8">
        <v>2454.44256396734</v>
      </c>
      <c r="C668" s="12">
        <v>934.50669285681499</v>
      </c>
      <c r="D668" s="8">
        <v>1.3931185052360999</v>
      </c>
      <c r="E668" s="12">
        <v>3.8535837343391501E-3</v>
      </c>
      <c r="F668" s="8" t="s">
        <v>7264</v>
      </c>
      <c r="G668" s="12" t="s">
        <v>7265</v>
      </c>
      <c r="H668" s="12">
        <v>1</v>
      </c>
      <c r="I668" s="13" t="str">
        <f>HYPERLINK("http://www.ncbi.nlm.nih.gov/gene/1983", "1983")</f>
        <v>1983</v>
      </c>
      <c r="J668" s="12" t="s">
        <v>14375</v>
      </c>
      <c r="K668" s="12" t="s">
        <v>14376</v>
      </c>
      <c r="L668" s="13" t="str">
        <f>HYPERLINK("http://asia.ensembl.org/Homo_sapiens/Gene/Summary?g=ENSG00000100664", "ENSG00000100664")</f>
        <v>ENSG00000100664</v>
      </c>
      <c r="M668" s="12" t="s">
        <v>14377</v>
      </c>
      <c r="N668" s="12" t="s">
        <v>14378</v>
      </c>
    </row>
    <row r="669" spans="1:14">
      <c r="A669" s="12" t="s">
        <v>11171</v>
      </c>
      <c r="B669" s="8">
        <v>2115.0158721104999</v>
      </c>
      <c r="C669" s="12">
        <v>805.32128134328605</v>
      </c>
      <c r="D669" s="8">
        <v>1.3930321265405501</v>
      </c>
      <c r="E669" s="12">
        <v>3.5083007760976699E-3</v>
      </c>
      <c r="F669" s="8" t="s">
        <v>38</v>
      </c>
      <c r="G669" s="12" t="s">
        <v>38</v>
      </c>
      <c r="H669" s="12">
        <v>1</v>
      </c>
      <c r="I669" s="12" t="s">
        <v>38</v>
      </c>
      <c r="J669" s="12" t="s">
        <v>38</v>
      </c>
      <c r="K669" s="12" t="s">
        <v>38</v>
      </c>
      <c r="L669" s="13" t="str">
        <f>HYPERLINK("http://asia.ensembl.org/Homo_sapiens/Gene/Summary?g=ENSG00000170385", "ENSG00000170385")</f>
        <v>ENSG00000170385</v>
      </c>
      <c r="M669" s="12" t="s">
        <v>11172</v>
      </c>
      <c r="N669" s="12" t="s">
        <v>8375</v>
      </c>
    </row>
    <row r="670" spans="1:14">
      <c r="A670" s="12" t="s">
        <v>4579</v>
      </c>
      <c r="B670" s="8">
        <v>6331.6441720416697</v>
      </c>
      <c r="C670" s="12">
        <v>2410.8656718800398</v>
      </c>
      <c r="D670" s="8">
        <v>1.3930289112788401</v>
      </c>
      <c r="E670" s="12">
        <v>3.9171137200045896E-3</v>
      </c>
      <c r="F670" s="8" t="s">
        <v>4580</v>
      </c>
      <c r="G670" s="12" t="s">
        <v>13294</v>
      </c>
      <c r="H670" s="12">
        <v>1</v>
      </c>
      <c r="I670" s="13" t="str">
        <f>HYPERLINK("http://www.ncbi.nlm.nih.gov/gene/81539", "81539")</f>
        <v>81539</v>
      </c>
      <c r="J670" s="12" t="s">
        <v>13295</v>
      </c>
      <c r="K670" s="12" t="s">
        <v>13296</v>
      </c>
      <c r="L670" s="13" t="str">
        <f>HYPERLINK("http://asia.ensembl.org/Homo_sapiens/Gene/Summary?g=ENSG00000111371", "ENSG00000111371")</f>
        <v>ENSG00000111371</v>
      </c>
      <c r="M670" s="12" t="s">
        <v>13297</v>
      </c>
      <c r="N670" s="12" t="s">
        <v>13298</v>
      </c>
    </row>
    <row r="671" spans="1:14">
      <c r="A671" s="12" t="s">
        <v>11262</v>
      </c>
      <c r="B671" s="8">
        <v>15039.3927275148</v>
      </c>
      <c r="C671" s="12">
        <v>5726.5910907945799</v>
      </c>
      <c r="D671" s="8">
        <v>1.39299781779303</v>
      </c>
      <c r="E671" s="12">
        <v>7.7454915537528302E-3</v>
      </c>
      <c r="F671" s="8" t="s">
        <v>6601</v>
      </c>
      <c r="G671" s="12" t="s">
        <v>6602</v>
      </c>
      <c r="H671" s="12">
        <v>1</v>
      </c>
      <c r="I671" s="13" t="str">
        <f>HYPERLINK("http://www.ncbi.nlm.nih.gov/gene/81542", "81542")</f>
        <v>81542</v>
      </c>
      <c r="J671" s="13" t="str">
        <f>HYPERLINK("http://www.ncbi.nlm.nih.gov/nuccore/NM_030755", "NM_030755")</f>
        <v>NM_030755</v>
      </c>
      <c r="K671" s="12" t="s">
        <v>6603</v>
      </c>
      <c r="L671" s="13" t="str">
        <f>HYPERLINK("http://asia.ensembl.org/Homo_sapiens/Gene/Summary?g=ENSG00000139921", "ENSG00000139921")</f>
        <v>ENSG00000139921</v>
      </c>
      <c r="M671" s="12" t="s">
        <v>15053</v>
      </c>
      <c r="N671" s="12" t="s">
        <v>15054</v>
      </c>
    </row>
    <row r="672" spans="1:14">
      <c r="A672" s="12" t="s">
        <v>5232</v>
      </c>
      <c r="B672" s="8">
        <v>858.61670089744302</v>
      </c>
      <c r="C672" s="12">
        <v>326.99372012435703</v>
      </c>
      <c r="D672" s="8">
        <v>1.39275130562367</v>
      </c>
      <c r="E672" s="12">
        <v>1.4979206336353599E-3</v>
      </c>
      <c r="F672" s="8" t="s">
        <v>5233</v>
      </c>
      <c r="G672" s="12" t="s">
        <v>5234</v>
      </c>
      <c r="H672" s="12">
        <v>1</v>
      </c>
      <c r="I672" s="13" t="str">
        <f>HYPERLINK("http://www.ncbi.nlm.nih.gov/gene/23099", "23099")</f>
        <v>23099</v>
      </c>
      <c r="J672" s="12" t="s">
        <v>13631</v>
      </c>
      <c r="K672" s="12" t="s">
        <v>13632</v>
      </c>
      <c r="L672" s="13" t="str">
        <f>HYPERLINK("http://asia.ensembl.org/Homo_sapiens/Gene/Summary?g=ENSG00000169155", "ENSG00000169155")</f>
        <v>ENSG00000169155</v>
      </c>
      <c r="M672" s="12" t="s">
        <v>13633</v>
      </c>
      <c r="N672" s="12" t="s">
        <v>13634</v>
      </c>
    </row>
    <row r="673" spans="1:14">
      <c r="A673" s="12" t="s">
        <v>8115</v>
      </c>
      <c r="B673" s="8">
        <v>3975.7110058295898</v>
      </c>
      <c r="C673" s="12">
        <v>1516.0343050845199</v>
      </c>
      <c r="D673" s="8">
        <v>1.3909104918748401</v>
      </c>
      <c r="E673" s="12">
        <v>1.0272918898030701E-2</v>
      </c>
      <c r="F673" s="8" t="s">
        <v>8116</v>
      </c>
      <c r="G673" s="12" t="s">
        <v>14673</v>
      </c>
      <c r="H673" s="12">
        <v>4</v>
      </c>
      <c r="I673" s="12" t="s">
        <v>8117</v>
      </c>
      <c r="J673" s="12" t="s">
        <v>14674</v>
      </c>
      <c r="K673" s="12" t="s">
        <v>14675</v>
      </c>
      <c r="L673" s="12" t="s">
        <v>8118</v>
      </c>
      <c r="M673" s="12" t="s">
        <v>14676</v>
      </c>
      <c r="N673" s="12" t="s">
        <v>14677</v>
      </c>
    </row>
    <row r="674" spans="1:14">
      <c r="A674" s="12" t="s">
        <v>3440</v>
      </c>
      <c r="B674" s="8">
        <v>4146.9589017136404</v>
      </c>
      <c r="C674" s="12">
        <v>1581.7182614671101</v>
      </c>
      <c r="D674" s="8">
        <v>1.39056110230723</v>
      </c>
      <c r="E674" s="12">
        <v>4.5648504235027403E-3</v>
      </c>
      <c r="F674" s="8" t="s">
        <v>3441</v>
      </c>
      <c r="G674" s="12" t="s">
        <v>614</v>
      </c>
      <c r="H674" s="12">
        <v>1</v>
      </c>
      <c r="I674" s="13" t="str">
        <f>HYPERLINK("http://www.ncbi.nlm.nih.gov/gene/80218", "80218")</f>
        <v>80218</v>
      </c>
      <c r="J674" s="13" t="str">
        <f>HYPERLINK("http://www.ncbi.nlm.nih.gov/nuccore/NM_025146", "NM_025146")</f>
        <v>NM_025146</v>
      </c>
      <c r="K674" s="12" t="s">
        <v>3442</v>
      </c>
      <c r="L674" s="13" t="str">
        <f>HYPERLINK("http://asia.ensembl.org/Homo_sapiens/Gene/Summary?g=ENSG00000121579", "ENSG00000121579")</f>
        <v>ENSG00000121579</v>
      </c>
      <c r="M674" s="12" t="s">
        <v>12983</v>
      </c>
      <c r="N674" s="12" t="s">
        <v>12984</v>
      </c>
    </row>
    <row r="675" spans="1:14">
      <c r="A675" s="12" t="s">
        <v>11833</v>
      </c>
      <c r="B675" s="8">
        <v>3607.7201740856999</v>
      </c>
      <c r="C675" s="12">
        <v>1376.1297580257301</v>
      </c>
      <c r="D675" s="8">
        <v>1.3904709319983</v>
      </c>
      <c r="E675" s="12">
        <v>7.0743995639979702E-3</v>
      </c>
      <c r="F675" s="8" t="s">
        <v>11834</v>
      </c>
      <c r="G675" s="12" t="s">
        <v>11835</v>
      </c>
      <c r="H675" s="12">
        <v>1</v>
      </c>
      <c r="I675" s="13" t="str">
        <f>HYPERLINK("http://www.ncbi.nlm.nih.gov/gene/26225", "26225")</f>
        <v>26225</v>
      </c>
      <c r="J675" s="12" t="s">
        <v>16219</v>
      </c>
      <c r="K675" s="12" t="s">
        <v>16220</v>
      </c>
      <c r="L675" s="13" t="str">
        <f>HYPERLINK("http://asia.ensembl.org/Homo_sapiens/Gene/Summary?g=ENSG00000162980", "ENSG00000162980")</f>
        <v>ENSG00000162980</v>
      </c>
      <c r="M675" s="12" t="s">
        <v>16221</v>
      </c>
      <c r="N675" s="12" t="s">
        <v>16222</v>
      </c>
    </row>
    <row r="676" spans="1:14">
      <c r="A676" s="12" t="s">
        <v>5446</v>
      </c>
      <c r="B676" s="8">
        <v>2733.37420545532</v>
      </c>
      <c r="C676" s="12">
        <v>1042.9660936744001</v>
      </c>
      <c r="D676" s="8">
        <v>1.3899907244791301</v>
      </c>
      <c r="E676" s="12">
        <v>6.6491884286782601E-4</v>
      </c>
      <c r="F676" s="8" t="s">
        <v>5447</v>
      </c>
      <c r="G676" s="12" t="s">
        <v>5448</v>
      </c>
      <c r="H676" s="12">
        <v>1</v>
      </c>
      <c r="I676" s="13" t="str">
        <f>HYPERLINK("http://www.ncbi.nlm.nih.gov/gene/57488", "57488")</f>
        <v>57488</v>
      </c>
      <c r="J676" s="13" t="str">
        <f>HYPERLINK("http://www.ncbi.nlm.nih.gov/nuccore/NM_020728", "NM_020728")</f>
        <v>NM_020728</v>
      </c>
      <c r="K676" s="12" t="s">
        <v>5449</v>
      </c>
      <c r="L676" s="13" t="str">
        <f>HYPERLINK("http://asia.ensembl.org/Homo_sapiens/Gene/Summary?g=ENSG00000117868", "ENSG00000117868")</f>
        <v>ENSG00000117868</v>
      </c>
      <c r="M676" s="12" t="s">
        <v>13760</v>
      </c>
      <c r="N676" s="12" t="s">
        <v>13761</v>
      </c>
    </row>
    <row r="677" spans="1:14">
      <c r="A677" s="12" t="s">
        <v>476</v>
      </c>
      <c r="B677" s="8">
        <v>350.358661873561</v>
      </c>
      <c r="C677" s="12">
        <v>133.733650929036</v>
      </c>
      <c r="D677" s="8">
        <v>1.3894700328428</v>
      </c>
      <c r="E677" s="12">
        <v>8.9106845299049599E-4</v>
      </c>
      <c r="F677" s="8" t="s">
        <v>477</v>
      </c>
      <c r="G677" s="12" t="s">
        <v>289</v>
      </c>
      <c r="H677" s="12">
        <v>1</v>
      </c>
      <c r="I677" s="13" t="str">
        <f>HYPERLINK("http://www.ncbi.nlm.nih.gov/gene/170506", "170506")</f>
        <v>170506</v>
      </c>
      <c r="J677" s="12" t="s">
        <v>11993</v>
      </c>
      <c r="K677" s="12" t="s">
        <v>11994</v>
      </c>
      <c r="L677" s="13" t="str">
        <f>HYPERLINK("http://asia.ensembl.org/Homo_sapiens/Gene/Summary?g=ENSG00000174953", "ENSG00000174953")</f>
        <v>ENSG00000174953</v>
      </c>
      <c r="M677" s="12" t="s">
        <v>11995</v>
      </c>
      <c r="N677" s="12" t="s">
        <v>11996</v>
      </c>
    </row>
    <row r="678" spans="1:14">
      <c r="A678" s="12" t="s">
        <v>4044</v>
      </c>
      <c r="B678" s="8">
        <v>130.98343464872099</v>
      </c>
      <c r="C678" s="12">
        <v>49.999999999999901</v>
      </c>
      <c r="D678" s="8">
        <v>1.3893843670199499</v>
      </c>
      <c r="E678" s="12">
        <v>2.3840146667077301E-3</v>
      </c>
      <c r="F678" s="8" t="s">
        <v>4045</v>
      </c>
      <c r="G678" s="12" t="s">
        <v>4046</v>
      </c>
      <c r="H678" s="12">
        <v>1</v>
      </c>
      <c r="I678" s="13" t="str">
        <f>HYPERLINK("http://www.ncbi.nlm.nih.gov/gene/256979", "256979")</f>
        <v>256979</v>
      </c>
      <c r="J678" s="12" t="s">
        <v>13160</v>
      </c>
      <c r="K678" s="12" t="s">
        <v>13161</v>
      </c>
      <c r="L678" s="13" t="str">
        <f>HYPERLINK("http://asia.ensembl.org/Homo_sapiens/Gene/Summary?g=ENSG00000164744", "ENSG00000164744")</f>
        <v>ENSG00000164744</v>
      </c>
      <c r="M678" s="12" t="s">
        <v>13162</v>
      </c>
      <c r="N678" s="12" t="s">
        <v>13163</v>
      </c>
    </row>
    <row r="679" spans="1:14">
      <c r="A679" s="12" t="s">
        <v>10623</v>
      </c>
      <c r="B679" s="8">
        <v>2280.5831092943099</v>
      </c>
      <c r="C679" s="12">
        <v>871.20766601273499</v>
      </c>
      <c r="D679" s="8">
        <v>1.3883141921047</v>
      </c>
      <c r="E679" s="12">
        <v>6.41172080607578E-3</v>
      </c>
      <c r="F679" s="8" t="s">
        <v>1782</v>
      </c>
      <c r="G679" s="12" t="s">
        <v>12416</v>
      </c>
      <c r="H679" s="12">
        <v>1</v>
      </c>
      <c r="I679" s="13" t="str">
        <f>HYPERLINK("http://www.ncbi.nlm.nih.gov/gene/528", "528")</f>
        <v>528</v>
      </c>
      <c r="J679" s="13" t="str">
        <f>HYPERLINK("http://www.ncbi.nlm.nih.gov/nuccore/NM_001695", "NM_001695")</f>
        <v>NM_001695</v>
      </c>
      <c r="K679" s="12" t="s">
        <v>1783</v>
      </c>
      <c r="L679" s="13" t="str">
        <f>HYPERLINK("http://asia.ensembl.org/Homo_sapiens/Gene/Summary?g=ENSG00000155097", "ENSG00000155097")</f>
        <v>ENSG00000155097</v>
      </c>
      <c r="M679" s="12" t="s">
        <v>12417</v>
      </c>
      <c r="N679" s="12" t="s">
        <v>12418</v>
      </c>
    </row>
    <row r="680" spans="1:14">
      <c r="A680" s="12" t="s">
        <v>7842</v>
      </c>
      <c r="B680" s="8">
        <v>2168.8076643969898</v>
      </c>
      <c r="C680" s="12">
        <v>828.69714179059702</v>
      </c>
      <c r="D680" s="8">
        <v>1.3879852652856099</v>
      </c>
      <c r="E680" s="12">
        <v>5.3647823183334302E-3</v>
      </c>
      <c r="F680" s="8" t="s">
        <v>5302</v>
      </c>
      <c r="G680" s="12" t="s">
        <v>5303</v>
      </c>
      <c r="H680" s="12">
        <v>1</v>
      </c>
      <c r="I680" s="13" t="str">
        <f>HYPERLINK("http://www.ncbi.nlm.nih.gov/gene/51322", "51322")</f>
        <v>51322</v>
      </c>
      <c r="J680" s="12" t="s">
        <v>13672</v>
      </c>
      <c r="K680" s="12" t="s">
        <v>13673</v>
      </c>
      <c r="L680" s="13" t="str">
        <f>HYPERLINK("http://asia.ensembl.org/Homo_sapiens/Gene/Summary?g=ENSG00000095787", "ENSG00000095787")</f>
        <v>ENSG00000095787</v>
      </c>
      <c r="M680" s="12" t="s">
        <v>13674</v>
      </c>
      <c r="N680" s="12" t="s">
        <v>13675</v>
      </c>
    </row>
    <row r="681" spans="1:14">
      <c r="A681" s="12" t="s">
        <v>6240</v>
      </c>
      <c r="B681" s="8">
        <v>590.75687349871805</v>
      </c>
      <c r="C681" s="12">
        <v>225.956920565362</v>
      </c>
      <c r="D681" s="8">
        <v>1.38651676588387</v>
      </c>
      <c r="E681" s="12">
        <v>3.09764418663949E-3</v>
      </c>
      <c r="F681" s="8" t="s">
        <v>6241</v>
      </c>
      <c r="G681" s="12" t="s">
        <v>6242</v>
      </c>
      <c r="H681" s="12">
        <v>1</v>
      </c>
      <c r="I681" s="13" t="str">
        <f>HYPERLINK("http://www.ncbi.nlm.nih.gov/gene/22828", "22828")</f>
        <v>22828</v>
      </c>
      <c r="J681" s="13" t="str">
        <f>HYPERLINK("http://www.ncbi.nlm.nih.gov/nuccore/NM_014892", "NM_014892")</f>
        <v>NM_014892</v>
      </c>
      <c r="K681" s="12" t="s">
        <v>6243</v>
      </c>
      <c r="L681" s="13" t="str">
        <f>HYPERLINK("http://asia.ensembl.org/Homo_sapiens/Gene/Summary?g=ENSG00000213079", "ENSG00000213079")</f>
        <v>ENSG00000213079</v>
      </c>
      <c r="M681" s="12" t="s">
        <v>14102</v>
      </c>
      <c r="N681" s="12" t="s">
        <v>14103</v>
      </c>
    </row>
    <row r="682" spans="1:14">
      <c r="A682" s="12" t="s">
        <v>7499</v>
      </c>
      <c r="B682" s="8">
        <v>5210.9888100989101</v>
      </c>
      <c r="C682" s="12">
        <v>1994.24382759373</v>
      </c>
      <c r="D682" s="8">
        <v>1.3857153441561001</v>
      </c>
      <c r="E682" s="12">
        <v>2.6219525525518002E-3</v>
      </c>
      <c r="F682" s="8" t="s">
        <v>7500</v>
      </c>
      <c r="G682" s="12" t="s">
        <v>7501</v>
      </c>
      <c r="H682" s="12">
        <v>1</v>
      </c>
      <c r="I682" s="13" t="str">
        <f>HYPERLINK("http://www.ncbi.nlm.nih.gov/gene/2332", "2332")</f>
        <v>2332</v>
      </c>
      <c r="J682" s="12" t="s">
        <v>14450</v>
      </c>
      <c r="K682" s="12" t="s">
        <v>14451</v>
      </c>
      <c r="L682" s="13" t="str">
        <f>HYPERLINK("http://asia.ensembl.org/Homo_sapiens/Gene/Summary?g=ENSG00000102081", "ENSG00000102081")</f>
        <v>ENSG00000102081</v>
      </c>
      <c r="M682" s="12" t="s">
        <v>14452</v>
      </c>
      <c r="N682" s="12" t="s">
        <v>14453</v>
      </c>
    </row>
    <row r="683" spans="1:14">
      <c r="A683" s="12" t="s">
        <v>3277</v>
      </c>
      <c r="B683" s="8">
        <v>2910.67874499654</v>
      </c>
      <c r="C683" s="12">
        <v>1114.24010310772</v>
      </c>
      <c r="D683" s="8">
        <v>1.3852954695991799</v>
      </c>
      <c r="E683" s="12">
        <v>2.1355113369353998E-3</v>
      </c>
      <c r="F683" s="8" t="s">
        <v>3278</v>
      </c>
      <c r="G683" s="12" t="s">
        <v>3279</v>
      </c>
      <c r="H683" s="12">
        <v>1</v>
      </c>
      <c r="I683" s="13" t="str">
        <f>HYPERLINK("http://www.ncbi.nlm.nih.gov/gene/23517", "23517")</f>
        <v>23517</v>
      </c>
      <c r="J683" s="13" t="str">
        <f>HYPERLINK("http://www.ncbi.nlm.nih.gov/nuccore/NM_015360", "NM_015360")</f>
        <v>NM_015360</v>
      </c>
      <c r="K683" s="12" t="s">
        <v>3280</v>
      </c>
      <c r="L683" s="13" t="str">
        <f>HYPERLINK("http://asia.ensembl.org/Homo_sapiens/Gene/Summary?g=ENSG00000039123", "ENSG00000039123")</f>
        <v>ENSG00000039123</v>
      </c>
      <c r="M683" s="12" t="s">
        <v>12932</v>
      </c>
      <c r="N683" s="12" t="s">
        <v>12933</v>
      </c>
    </row>
    <row r="684" spans="1:14">
      <c r="A684" s="12" t="s">
        <v>5098</v>
      </c>
      <c r="B684" s="8">
        <v>298.44392878108698</v>
      </c>
      <c r="C684" s="12">
        <v>114.269327665166</v>
      </c>
      <c r="D684" s="8">
        <v>1.3850217001970899</v>
      </c>
      <c r="E684" s="12">
        <v>3.11432446469116E-3</v>
      </c>
      <c r="F684" s="15" t="s">
        <v>5099</v>
      </c>
      <c r="G684" s="12" t="s">
        <v>5100</v>
      </c>
      <c r="H684" s="12">
        <v>1</v>
      </c>
      <c r="I684" s="13" t="str">
        <f>HYPERLINK("http://www.ncbi.nlm.nih.gov/gene/10000", "10000")</f>
        <v>10000</v>
      </c>
      <c r="J684" s="13" t="str">
        <f>HYPERLINK("http://www.ncbi.nlm.nih.gov/nuccore/NM_005465", "NM_005465")</f>
        <v>NM_005465</v>
      </c>
      <c r="K684" s="12" t="s">
        <v>5101</v>
      </c>
      <c r="L684" s="13" t="str">
        <f>HYPERLINK("http://asia.ensembl.org/Homo_sapiens/Gene/Summary?g=ENSG00000117020", "ENSG00000117020")</f>
        <v>ENSG00000117020</v>
      </c>
      <c r="M684" s="12" t="s">
        <v>13587</v>
      </c>
      <c r="N684" s="12" t="s">
        <v>13588</v>
      </c>
    </row>
    <row r="685" spans="1:14">
      <c r="A685" s="12" t="s">
        <v>98</v>
      </c>
      <c r="B685" s="8">
        <v>1423.5284072612801</v>
      </c>
      <c r="C685" s="12">
        <v>545.14686543515404</v>
      </c>
      <c r="D685" s="8">
        <v>1.3847544261043501</v>
      </c>
      <c r="E685" s="12">
        <v>2.4330413349783501E-3</v>
      </c>
      <c r="F685" s="8" t="s">
        <v>99</v>
      </c>
      <c r="G685" s="12" t="s">
        <v>11859</v>
      </c>
      <c r="H685" s="12">
        <v>1</v>
      </c>
      <c r="I685" s="13" t="str">
        <f>HYPERLINK("http://www.ncbi.nlm.nih.gov/gene/6872", "6872")</f>
        <v>6872</v>
      </c>
      <c r="J685" s="12" t="s">
        <v>11860</v>
      </c>
      <c r="K685" s="12" t="s">
        <v>11861</v>
      </c>
      <c r="L685" s="13" t="str">
        <f>HYPERLINK("http://asia.ensembl.org/Homo_sapiens/Gene/Summary?g=ENSG00000147133", "ENSG00000147133")</f>
        <v>ENSG00000147133</v>
      </c>
      <c r="M685" s="12" t="s">
        <v>11862</v>
      </c>
      <c r="N685" s="12" t="s">
        <v>11863</v>
      </c>
    </row>
    <row r="686" spans="1:14">
      <c r="A686" s="12" t="s">
        <v>10425</v>
      </c>
      <c r="B686" s="8">
        <v>690.25860550443599</v>
      </c>
      <c r="C686" s="12">
        <v>264.40494199401701</v>
      </c>
      <c r="D686" s="8">
        <v>1.3843878265924601</v>
      </c>
      <c r="E686" s="12">
        <v>1.3186797859904801E-3</v>
      </c>
      <c r="F686" s="8" t="s">
        <v>10426</v>
      </c>
      <c r="G686" s="12" t="s">
        <v>15426</v>
      </c>
      <c r="H686" s="12">
        <v>1</v>
      </c>
      <c r="I686" s="13" t="str">
        <f>HYPERLINK("http://www.ncbi.nlm.nih.gov/gene/11025", "11025")</f>
        <v>11025</v>
      </c>
      <c r="J686" s="12" t="s">
        <v>15427</v>
      </c>
      <c r="K686" s="12" t="s">
        <v>15428</v>
      </c>
      <c r="L686" s="13" t="str">
        <f>HYPERLINK("http://asia.ensembl.org/Homo_sapiens/Gene/Summary?g=ENSG00000277816", "ENSG00000277816")</f>
        <v>ENSG00000277816</v>
      </c>
      <c r="M686" s="12" t="s">
        <v>7771</v>
      </c>
      <c r="N686" s="12" t="s">
        <v>7772</v>
      </c>
    </row>
    <row r="687" spans="1:14">
      <c r="A687" s="12" t="s">
        <v>6736</v>
      </c>
      <c r="B687" s="8">
        <v>209.61827346198899</v>
      </c>
      <c r="C687" s="12">
        <v>80.363922613273502</v>
      </c>
      <c r="D687" s="8">
        <v>1.3831445994731999</v>
      </c>
      <c r="E687" s="12">
        <v>2.26934530457721E-2</v>
      </c>
      <c r="F687" s="8" t="s">
        <v>6737</v>
      </c>
      <c r="G687" s="12" t="s">
        <v>6738</v>
      </c>
      <c r="H687" s="12">
        <v>1</v>
      </c>
      <c r="I687" s="13" t="str">
        <f>HYPERLINK("http://www.ncbi.nlm.nih.gov/gene/26156", "26156")</f>
        <v>26156</v>
      </c>
      <c r="J687" s="13" t="str">
        <f>HYPERLINK("http://www.ncbi.nlm.nih.gov/nuccore/NM_015659", "NM_015659")</f>
        <v>NM_015659</v>
      </c>
      <c r="K687" s="12" t="s">
        <v>6739</v>
      </c>
      <c r="L687" s="13" t="str">
        <f>HYPERLINK("http://asia.ensembl.org/Homo_sapiens/Gene/Summary?g=ENSG00000171490", "ENSG00000171490")</f>
        <v>ENSG00000171490</v>
      </c>
      <c r="M687" s="12" t="s">
        <v>14248</v>
      </c>
      <c r="N687" s="12" t="s">
        <v>14249</v>
      </c>
    </row>
    <row r="688" spans="1:14">
      <c r="A688" s="12" t="s">
        <v>10481</v>
      </c>
      <c r="B688" s="8">
        <v>345.711530489371</v>
      </c>
      <c r="C688" s="12">
        <v>132.64573563853401</v>
      </c>
      <c r="D688" s="8">
        <v>1.3819904266662899</v>
      </c>
      <c r="E688" s="12">
        <v>8.0129775804441104E-3</v>
      </c>
      <c r="F688" s="8" t="s">
        <v>8635</v>
      </c>
      <c r="G688" s="12" t="s">
        <v>8636</v>
      </c>
      <c r="H688" s="12">
        <v>1</v>
      </c>
      <c r="I688" s="13" t="str">
        <f>HYPERLINK("http://www.ncbi.nlm.nih.gov/gene/5463", "5463")</f>
        <v>5463</v>
      </c>
      <c r="J688" s="12" t="s">
        <v>15450</v>
      </c>
      <c r="K688" s="12" t="s">
        <v>15451</v>
      </c>
      <c r="L688" s="13" t="str">
        <f>HYPERLINK("http://asia.ensembl.org/Homo_sapiens/Gene/Summary?g=ENSG00000184271", "ENSG00000184271")</f>
        <v>ENSG00000184271</v>
      </c>
      <c r="M688" s="12" t="s">
        <v>15452</v>
      </c>
      <c r="N688" s="12" t="s">
        <v>15453</v>
      </c>
    </row>
    <row r="689" spans="1:14">
      <c r="A689" s="12" t="s">
        <v>10709</v>
      </c>
      <c r="B689" s="8">
        <v>133.73126567372299</v>
      </c>
      <c r="C689" s="12">
        <v>51.320824106572097</v>
      </c>
      <c r="D689" s="8">
        <v>1.3817205570236599</v>
      </c>
      <c r="E689" s="12">
        <v>3.34289898618617E-3</v>
      </c>
      <c r="F689" s="8" t="s">
        <v>1159</v>
      </c>
      <c r="G689" s="12" t="s">
        <v>1160</v>
      </c>
      <c r="H689" s="12">
        <v>1</v>
      </c>
      <c r="I689" s="13" t="str">
        <f>HYPERLINK("http://www.ncbi.nlm.nih.gov/gene/11179", "11179")</f>
        <v>11179</v>
      </c>
      <c r="J689" s="13" t="str">
        <f>HYPERLINK("http://www.ncbi.nlm.nih.gov/nuccore/NM_021994", "NM_021994")</f>
        <v>NM_021994</v>
      </c>
      <c r="K689" s="12" t="s">
        <v>1161</v>
      </c>
      <c r="L689" s="13" t="str">
        <f>HYPERLINK("http://asia.ensembl.org/Homo_sapiens/Gene/Summary?g=ENSG00000198839", "ENSG00000198839")</f>
        <v>ENSG00000198839</v>
      </c>
      <c r="M689" s="12" t="s">
        <v>15741</v>
      </c>
      <c r="N689" s="12" t="s">
        <v>15742</v>
      </c>
    </row>
    <row r="690" spans="1:14">
      <c r="A690" s="12" t="s">
        <v>6174</v>
      </c>
      <c r="B690" s="8">
        <v>6708.8939026877397</v>
      </c>
      <c r="C690" s="12">
        <v>2575.02629503871</v>
      </c>
      <c r="D690" s="8">
        <v>1.38148776393529</v>
      </c>
      <c r="E690" s="12">
        <v>6.3067182203221002E-3</v>
      </c>
      <c r="F690" s="8" t="s">
        <v>6175</v>
      </c>
      <c r="G690" s="12" t="s">
        <v>6176</v>
      </c>
      <c r="H690" s="12">
        <v>1</v>
      </c>
      <c r="I690" s="13" t="str">
        <f>HYPERLINK("http://www.ncbi.nlm.nih.gov/gene/6251", "6251")</f>
        <v>6251</v>
      </c>
      <c r="J690" s="12" t="s">
        <v>14073</v>
      </c>
      <c r="K690" s="12" t="s">
        <v>14074</v>
      </c>
      <c r="L690" s="13" t="str">
        <f>HYPERLINK("http://asia.ensembl.org/Homo_sapiens/Gene/Summary?g=ENSG00000148484", "ENSG00000148484")</f>
        <v>ENSG00000148484</v>
      </c>
      <c r="M690" s="12" t="s">
        <v>14075</v>
      </c>
      <c r="N690" s="12" t="s">
        <v>14076</v>
      </c>
    </row>
    <row r="691" spans="1:14">
      <c r="A691" s="12" t="s">
        <v>5258</v>
      </c>
      <c r="B691" s="8">
        <v>2266.9511548980699</v>
      </c>
      <c r="C691" s="12">
        <v>870.12557573275399</v>
      </c>
      <c r="D691" s="8">
        <v>1.38145777669529</v>
      </c>
      <c r="E691" s="12">
        <v>5.3329494317364903E-3</v>
      </c>
      <c r="F691" s="8" t="s">
        <v>5259</v>
      </c>
      <c r="G691" s="12" t="s">
        <v>2721</v>
      </c>
      <c r="H691" s="12">
        <v>1</v>
      </c>
      <c r="I691" s="13" t="str">
        <f>HYPERLINK("http://www.ncbi.nlm.nih.gov/gene/10463", "10463")</f>
        <v>10463</v>
      </c>
      <c r="J691" s="13" t="str">
        <f>HYPERLINK("http://www.ncbi.nlm.nih.gov/nuccore/NM_006345", "NM_006345")</f>
        <v>NM_006345</v>
      </c>
      <c r="K691" s="12" t="s">
        <v>5260</v>
      </c>
      <c r="L691" s="13" t="str">
        <f>HYPERLINK("http://asia.ensembl.org/Homo_sapiens/Gene/Summary?g=ENSG00000014824", "ENSG00000014824")</f>
        <v>ENSG00000014824</v>
      </c>
      <c r="M691" s="12" t="s">
        <v>13648</v>
      </c>
      <c r="N691" s="12" t="s">
        <v>13649</v>
      </c>
    </row>
    <row r="692" spans="1:14">
      <c r="A692" s="12" t="s">
        <v>8417</v>
      </c>
      <c r="B692" s="8">
        <v>558.74128230423003</v>
      </c>
      <c r="C692" s="12">
        <v>214.588778322688</v>
      </c>
      <c r="D692" s="8">
        <v>1.3806057830277001</v>
      </c>
      <c r="E692" s="12">
        <v>4.4241094545017998E-3</v>
      </c>
      <c r="F692" s="8" t="s">
        <v>8418</v>
      </c>
      <c r="G692" s="12" t="s">
        <v>865</v>
      </c>
      <c r="H692" s="12">
        <v>1</v>
      </c>
      <c r="I692" s="13" t="str">
        <f>HYPERLINK("http://www.ncbi.nlm.nih.gov/gene/23135", "23135")</f>
        <v>23135</v>
      </c>
      <c r="J692" s="13" t="str">
        <f>HYPERLINK("http://www.ncbi.nlm.nih.gov/nuccore/NM_001080424", "NM_001080424")</f>
        <v>NM_001080424</v>
      </c>
      <c r="K692" s="12" t="s">
        <v>8419</v>
      </c>
      <c r="L692" s="13" t="str">
        <f>HYPERLINK("http://asia.ensembl.org/Homo_sapiens/Gene/Summary?g=ENSG00000132510", "ENSG00000132510")</f>
        <v>ENSG00000132510</v>
      </c>
      <c r="M692" s="12" t="s">
        <v>14740</v>
      </c>
      <c r="N692" s="12" t="s">
        <v>14741</v>
      </c>
    </row>
    <row r="693" spans="1:14">
      <c r="A693" s="12" t="s">
        <v>9099</v>
      </c>
      <c r="B693" s="8">
        <v>507.57631588656699</v>
      </c>
      <c r="C693" s="12">
        <v>194.94862132231</v>
      </c>
      <c r="D693" s="8">
        <v>1.3805308008617301</v>
      </c>
      <c r="E693" s="12">
        <v>4.34276012148047E-3</v>
      </c>
      <c r="F693" s="8" t="s">
        <v>7776</v>
      </c>
      <c r="G693" s="12" t="s">
        <v>7777</v>
      </c>
      <c r="H693" s="12">
        <v>1</v>
      </c>
      <c r="I693" s="13" t="str">
        <f>HYPERLINK("http://www.ncbi.nlm.nih.gov/gene/10526", "10526")</f>
        <v>10526</v>
      </c>
      <c r="J693" s="12" t="s">
        <v>14986</v>
      </c>
      <c r="K693" s="12" t="s">
        <v>14987</v>
      </c>
      <c r="L693" s="13" t="str">
        <f>HYPERLINK("http://asia.ensembl.org/Homo_sapiens/Gene/Summary?g=ENSG00000133704", "ENSG00000133704")</f>
        <v>ENSG00000133704</v>
      </c>
      <c r="M693" s="12" t="s">
        <v>14988</v>
      </c>
      <c r="N693" s="12" t="s">
        <v>14989</v>
      </c>
    </row>
    <row r="694" spans="1:14">
      <c r="A694" s="12" t="s">
        <v>1311</v>
      </c>
      <c r="B694" s="8">
        <v>520.82679982649597</v>
      </c>
      <c r="C694" s="12">
        <v>200.03952025064501</v>
      </c>
      <c r="D694" s="8">
        <v>1.38051863599433</v>
      </c>
      <c r="E694" s="12">
        <v>2.6815993034452298E-2</v>
      </c>
      <c r="F694" s="8" t="s">
        <v>1312</v>
      </c>
      <c r="G694" s="12" t="s">
        <v>12297</v>
      </c>
      <c r="H694" s="12">
        <v>1</v>
      </c>
      <c r="I694" s="13" t="str">
        <f>HYPERLINK("http://www.ncbi.nlm.nih.gov/gene/1016", "1016")</f>
        <v>1016</v>
      </c>
      <c r="J694" s="12" t="s">
        <v>12298</v>
      </c>
      <c r="K694" s="12" t="s">
        <v>12299</v>
      </c>
      <c r="L694" s="13" t="str">
        <f>HYPERLINK("http://asia.ensembl.org/Homo_sapiens/Gene/Summary?g=ENSG00000145526", "ENSG00000145526")</f>
        <v>ENSG00000145526</v>
      </c>
      <c r="M694" s="12" t="s">
        <v>12300</v>
      </c>
      <c r="N694" s="12" t="s">
        <v>12301</v>
      </c>
    </row>
    <row r="695" spans="1:14">
      <c r="A695" s="12" t="s">
        <v>6110</v>
      </c>
      <c r="B695" s="8">
        <v>1602.2996367641499</v>
      </c>
      <c r="C695" s="12">
        <v>615.80879485897503</v>
      </c>
      <c r="D695" s="8">
        <v>1.37958958608313</v>
      </c>
      <c r="E695" s="12">
        <v>1.1418279262981801E-3</v>
      </c>
      <c r="F695" s="8" t="s">
        <v>6111</v>
      </c>
      <c r="G695" s="12" t="s">
        <v>14048</v>
      </c>
      <c r="H695" s="12">
        <v>1</v>
      </c>
      <c r="I695" s="13" t="str">
        <f>HYPERLINK("http://www.ncbi.nlm.nih.gov/gene/10210", "10210")</f>
        <v>10210</v>
      </c>
      <c r="J695" s="12" t="s">
        <v>14049</v>
      </c>
      <c r="K695" s="12" t="s">
        <v>14050</v>
      </c>
      <c r="L695" s="13" t="str">
        <f>HYPERLINK("http://asia.ensembl.org/Homo_sapiens/Gene/Summary?g=ENSG00000197579", "ENSG00000197579")</f>
        <v>ENSG00000197579</v>
      </c>
      <c r="M695" s="12" t="s">
        <v>14051</v>
      </c>
      <c r="N695" s="12" t="s">
        <v>14052</v>
      </c>
    </row>
    <row r="696" spans="1:14">
      <c r="A696" s="12" t="s">
        <v>373</v>
      </c>
      <c r="B696" s="8">
        <v>2802.0036587405002</v>
      </c>
      <c r="C696" s="12">
        <v>1076.94488182808</v>
      </c>
      <c r="D696" s="8">
        <v>1.3795144251201099</v>
      </c>
      <c r="E696" s="12">
        <v>4.8235887849970302E-3</v>
      </c>
      <c r="F696" s="8" t="s">
        <v>374</v>
      </c>
      <c r="G696" s="12" t="s">
        <v>375</v>
      </c>
      <c r="H696" s="12">
        <v>1</v>
      </c>
      <c r="I696" s="13" t="str">
        <f>HYPERLINK("http://www.ncbi.nlm.nih.gov/gene/55266", "55266")</f>
        <v>55266</v>
      </c>
      <c r="J696" s="13" t="str">
        <f>HYPERLINK("http://www.ncbi.nlm.nih.gov/nuccore/NM_018279", "NM_018279")</f>
        <v>NM_018279</v>
      </c>
      <c r="K696" s="12" t="s">
        <v>376</v>
      </c>
      <c r="L696" s="13" t="str">
        <f>HYPERLINK("http://asia.ensembl.org/Homo_sapiens/Gene/Summary?g=ENSG00000139291", "ENSG00000139291")</f>
        <v>ENSG00000139291</v>
      </c>
      <c r="M696" s="12" t="s">
        <v>11963</v>
      </c>
      <c r="N696" s="12" t="s">
        <v>11964</v>
      </c>
    </row>
    <row r="697" spans="1:14">
      <c r="A697" s="12" t="s">
        <v>8623</v>
      </c>
      <c r="B697" s="8">
        <v>456.29685738029599</v>
      </c>
      <c r="C697" s="12">
        <v>175.63804684489901</v>
      </c>
      <c r="D697" s="8">
        <v>1.3773673212461599</v>
      </c>
      <c r="E697" s="12">
        <v>9.0251059056142592E-3</v>
      </c>
      <c r="F697" s="8" t="s">
        <v>8624</v>
      </c>
      <c r="G697" s="12" t="s">
        <v>8625</v>
      </c>
      <c r="H697" s="12">
        <v>1</v>
      </c>
      <c r="I697" s="13" t="str">
        <f>HYPERLINK("http://www.ncbi.nlm.nih.gov/gene/163071", "163071")</f>
        <v>163071</v>
      </c>
      <c r="J697" s="13" t="str">
        <f>HYPERLINK("http://www.ncbi.nlm.nih.gov/nuccore/NM_153608", "NM_153608")</f>
        <v>NM_153608</v>
      </c>
      <c r="K697" s="12" t="s">
        <v>8626</v>
      </c>
      <c r="L697" s="13" t="str">
        <f>HYPERLINK("http://asia.ensembl.org/Homo_sapiens/Gene/Summary?g=ENSG00000178150", "ENSG00000178150")</f>
        <v>ENSG00000178150</v>
      </c>
      <c r="M697" s="12" t="s">
        <v>14791</v>
      </c>
      <c r="N697" s="12" t="s">
        <v>14792</v>
      </c>
    </row>
    <row r="698" spans="1:14">
      <c r="A698" s="12" t="s">
        <v>4407</v>
      </c>
      <c r="B698" s="8">
        <v>1461.43419922871</v>
      </c>
      <c r="C698" s="12">
        <v>562.66519530933397</v>
      </c>
      <c r="D698" s="8">
        <v>1.37703624284918</v>
      </c>
      <c r="E698" s="12">
        <v>6.8184912344487003E-3</v>
      </c>
      <c r="F698" s="8" t="s">
        <v>4408</v>
      </c>
      <c r="G698" s="12" t="s">
        <v>4409</v>
      </c>
      <c r="H698" s="12">
        <v>1</v>
      </c>
      <c r="I698" s="13" t="str">
        <f>HYPERLINK("http://www.ncbi.nlm.nih.gov/gene/84946", "84946")</f>
        <v>84946</v>
      </c>
      <c r="J698" s="13" t="str">
        <f>HYPERLINK("http://www.ncbi.nlm.nih.gov/nuccore/NM_032860", "NM_032860")</f>
        <v>NM_032860</v>
      </c>
      <c r="K698" s="12" t="s">
        <v>4410</v>
      </c>
      <c r="L698" s="13" t="str">
        <f>HYPERLINK("http://asia.ensembl.org/Homo_sapiens/Gene/Summary?g=ENSG00000135521", "ENSG00000135521")</f>
        <v>ENSG00000135521</v>
      </c>
      <c r="M698" s="12" t="s">
        <v>4411</v>
      </c>
      <c r="N698" s="12" t="s">
        <v>4412</v>
      </c>
    </row>
    <row r="699" spans="1:14">
      <c r="A699" s="12" t="s">
        <v>8188</v>
      </c>
      <c r="B699" s="8">
        <v>1447.2048643819801</v>
      </c>
      <c r="C699" s="12">
        <v>557.46548723862998</v>
      </c>
      <c r="D699" s="8">
        <v>1.37631476683214</v>
      </c>
      <c r="E699" s="12">
        <v>5.2255017807836101E-3</v>
      </c>
      <c r="F699" s="8" t="s">
        <v>8189</v>
      </c>
      <c r="G699" s="12" t="s">
        <v>14697</v>
      </c>
      <c r="H699" s="12">
        <v>4</v>
      </c>
      <c r="I699" s="12" t="s">
        <v>8190</v>
      </c>
      <c r="J699" s="12" t="s">
        <v>8191</v>
      </c>
      <c r="K699" s="12" t="s">
        <v>8192</v>
      </c>
      <c r="L699" s="12" t="s">
        <v>8193</v>
      </c>
      <c r="M699" s="12" t="s">
        <v>14698</v>
      </c>
      <c r="N699" s="12" t="s">
        <v>8194</v>
      </c>
    </row>
    <row r="700" spans="1:14">
      <c r="A700" s="12" t="s">
        <v>11280</v>
      </c>
      <c r="B700" s="8">
        <v>12635.681303125901</v>
      </c>
      <c r="C700" s="12">
        <v>4869.6760623280097</v>
      </c>
      <c r="D700" s="8">
        <v>1.37560574451648</v>
      </c>
      <c r="E700" s="12">
        <v>1.24999339249353E-2</v>
      </c>
      <c r="F700" s="8" t="s">
        <v>5871</v>
      </c>
      <c r="G700" s="12" t="s">
        <v>5872</v>
      </c>
      <c r="H700" s="12">
        <v>1</v>
      </c>
      <c r="I700" s="13" t="str">
        <f>HYPERLINK("http://www.ncbi.nlm.nih.gov/gene/23321", "23321")</f>
        <v>23321</v>
      </c>
      <c r="J700" s="12" t="s">
        <v>13941</v>
      </c>
      <c r="K700" s="12" t="s">
        <v>13942</v>
      </c>
      <c r="L700" s="13" t="str">
        <f>HYPERLINK("http://asia.ensembl.org/Homo_sapiens/Gene/Summary?g=ENSG00000109654", "ENSG00000109654")</f>
        <v>ENSG00000109654</v>
      </c>
      <c r="M700" s="12" t="s">
        <v>13943</v>
      </c>
      <c r="N700" s="12" t="s">
        <v>13944</v>
      </c>
    </row>
    <row r="701" spans="1:14">
      <c r="A701" s="12" t="s">
        <v>320</v>
      </c>
      <c r="B701" s="8">
        <v>1066.6707770048899</v>
      </c>
      <c r="C701" s="12">
        <v>411.22371372446599</v>
      </c>
      <c r="D701" s="8">
        <v>1.37511959688396</v>
      </c>
      <c r="E701" s="12">
        <v>7.5867395985885896E-3</v>
      </c>
      <c r="F701" s="8" t="s">
        <v>321</v>
      </c>
      <c r="G701" s="12" t="s">
        <v>322</v>
      </c>
      <c r="H701" s="12">
        <v>1</v>
      </c>
      <c r="I701" s="13" t="str">
        <f>HYPERLINK("http://www.ncbi.nlm.nih.gov/gene/51719", "51719")</f>
        <v>51719</v>
      </c>
      <c r="J701" s="12" t="s">
        <v>11943</v>
      </c>
      <c r="K701" s="12" t="s">
        <v>11944</v>
      </c>
      <c r="L701" s="13" t="str">
        <f>HYPERLINK("http://asia.ensembl.org/Homo_sapiens/Gene/Summary?g=ENSG00000135932", "ENSG00000135932")</f>
        <v>ENSG00000135932</v>
      </c>
      <c r="M701" s="12" t="s">
        <v>11945</v>
      </c>
      <c r="N701" s="12" t="s">
        <v>11946</v>
      </c>
    </row>
    <row r="702" spans="1:14">
      <c r="A702" s="12" t="s">
        <v>11152</v>
      </c>
      <c r="B702" s="8">
        <v>2600.9180087985101</v>
      </c>
      <c r="C702" s="12">
        <v>1003.1715985480701</v>
      </c>
      <c r="D702" s="8">
        <v>1.3744525118145601</v>
      </c>
      <c r="E702" s="12">
        <v>1.225777407816E-2</v>
      </c>
      <c r="F702" s="8" t="s">
        <v>2941</v>
      </c>
      <c r="G702" s="12" t="s">
        <v>2942</v>
      </c>
      <c r="H702" s="12">
        <v>1</v>
      </c>
      <c r="I702" s="13" t="str">
        <f>HYPERLINK("http://www.ncbi.nlm.nih.gov/gene/167153", "167153")</f>
        <v>167153</v>
      </c>
      <c r="J702" s="12" t="s">
        <v>12842</v>
      </c>
      <c r="K702" s="12" t="s">
        <v>12843</v>
      </c>
      <c r="L702" s="13" t="str">
        <f>HYPERLINK("http://asia.ensembl.org/Homo_sapiens/Gene/Summary?g=ENSG00000164329", "ENSG00000164329")</f>
        <v>ENSG00000164329</v>
      </c>
      <c r="M702" s="12" t="s">
        <v>12844</v>
      </c>
      <c r="N702" s="12" t="s">
        <v>12845</v>
      </c>
    </row>
    <row r="703" spans="1:14">
      <c r="A703" s="12" t="s">
        <v>11301</v>
      </c>
      <c r="B703" s="8">
        <v>2207.4465807747101</v>
      </c>
      <c r="C703" s="12">
        <v>851.43702188596399</v>
      </c>
      <c r="D703" s="8">
        <v>1.37440679836206</v>
      </c>
      <c r="E703" s="12">
        <v>5.2806294502685197E-3</v>
      </c>
      <c r="F703" s="8" t="s">
        <v>10264</v>
      </c>
      <c r="G703" s="12" t="s">
        <v>10265</v>
      </c>
      <c r="H703" s="12">
        <v>1</v>
      </c>
      <c r="I703" s="13" t="str">
        <f>HYPERLINK("http://www.ncbi.nlm.nih.gov/gene/3987", "3987")</f>
        <v>3987</v>
      </c>
      <c r="J703" s="12" t="s">
        <v>15346</v>
      </c>
      <c r="K703" s="12" t="s">
        <v>15347</v>
      </c>
      <c r="L703" s="13" t="str">
        <f>HYPERLINK("http://asia.ensembl.org/Homo_sapiens/Gene/Summary?g=ENSG00000256977", "ENSG00000256977")</f>
        <v>ENSG00000256977</v>
      </c>
      <c r="M703" s="12" t="s">
        <v>10266</v>
      </c>
      <c r="N703" s="12" t="s">
        <v>10267</v>
      </c>
    </row>
    <row r="704" spans="1:14">
      <c r="A704" s="12" t="s">
        <v>1144</v>
      </c>
      <c r="B704" s="8">
        <v>1048.5608133255901</v>
      </c>
      <c r="C704" s="12">
        <v>404.67957522996198</v>
      </c>
      <c r="D704" s="8">
        <v>1.37355859473965</v>
      </c>
      <c r="E704" s="12">
        <v>7.0452792032081402E-3</v>
      </c>
      <c r="F704" s="8" t="s">
        <v>1145</v>
      </c>
      <c r="G704" s="12" t="s">
        <v>1146</v>
      </c>
      <c r="H704" s="12">
        <v>1</v>
      </c>
      <c r="I704" s="13" t="str">
        <f>HYPERLINK("http://www.ncbi.nlm.nih.gov/gene/3431", "3431")</f>
        <v>3431</v>
      </c>
      <c r="J704" s="12" t="s">
        <v>12244</v>
      </c>
      <c r="K704" s="12" t="s">
        <v>12245</v>
      </c>
      <c r="L704" s="13" t="str">
        <f>HYPERLINK("http://asia.ensembl.org/Homo_sapiens/Gene/Summary?g=ENSG00000280755", "ENSG00000280755")</f>
        <v>ENSG00000280755</v>
      </c>
      <c r="M704" s="12" t="s">
        <v>1147</v>
      </c>
      <c r="N704" s="12" t="s">
        <v>1148</v>
      </c>
    </row>
    <row r="705" spans="1:14">
      <c r="A705" s="12" t="s">
        <v>8576</v>
      </c>
      <c r="B705" s="8">
        <v>814.57270634253996</v>
      </c>
      <c r="C705" s="12">
        <v>314.51261106490199</v>
      </c>
      <c r="D705" s="8">
        <v>1.37292560892683</v>
      </c>
      <c r="E705" s="12">
        <v>4.76871924995913E-4</v>
      </c>
      <c r="F705" s="8" t="s">
        <v>8577</v>
      </c>
      <c r="G705" s="12" t="s">
        <v>8578</v>
      </c>
      <c r="H705" s="12">
        <v>1</v>
      </c>
      <c r="I705" s="13" t="str">
        <f>HYPERLINK("http://www.ncbi.nlm.nih.gov/gene/254251", "254251")</f>
        <v>254251</v>
      </c>
      <c r="J705" s="13" t="str">
        <f>HYPERLINK("http://www.ncbi.nlm.nih.gov/nuccore/NM_153686", "NM_153686")</f>
        <v>NM_153686</v>
      </c>
      <c r="K705" s="12" t="s">
        <v>8579</v>
      </c>
      <c r="L705" s="13" t="str">
        <f>HYPERLINK("http://asia.ensembl.org/Homo_sapiens/Gene/Summary?g=ENSG00000178177", "ENSG00000178177")</f>
        <v>ENSG00000178177</v>
      </c>
      <c r="M705" s="12" t="s">
        <v>14780</v>
      </c>
      <c r="N705" s="12" t="s">
        <v>14781</v>
      </c>
    </row>
    <row r="706" spans="1:14">
      <c r="A706" s="12" t="s">
        <v>332</v>
      </c>
      <c r="B706" s="8">
        <v>937.55502699124099</v>
      </c>
      <c r="C706" s="12">
        <v>362.15243871322201</v>
      </c>
      <c r="D706" s="8">
        <v>1.3723062772985199</v>
      </c>
      <c r="E706" s="12">
        <v>3.2402450795461302E-3</v>
      </c>
      <c r="F706" s="8" t="s">
        <v>333</v>
      </c>
      <c r="G706" s="12" t="s">
        <v>93</v>
      </c>
      <c r="H706" s="12">
        <v>1</v>
      </c>
      <c r="I706" s="13" t="str">
        <f>HYPERLINK("http://www.ncbi.nlm.nih.gov/gene/4189", "4189")</f>
        <v>4189</v>
      </c>
      <c r="J706" s="13" t="str">
        <f>HYPERLINK("http://www.ncbi.nlm.nih.gov/nuccore/NM_012328", "NM_012328")</f>
        <v>NM_012328</v>
      </c>
      <c r="K706" s="12" t="s">
        <v>334</v>
      </c>
      <c r="L706" s="13" t="str">
        <f>HYPERLINK("http://asia.ensembl.org/Homo_sapiens/Gene/Summary?g=ENSG00000128590", "ENSG00000128590")</f>
        <v>ENSG00000128590</v>
      </c>
      <c r="M706" s="12" t="s">
        <v>11951</v>
      </c>
      <c r="N706" s="12" t="s">
        <v>335</v>
      </c>
    </row>
    <row r="707" spans="1:14">
      <c r="A707" s="12" t="s">
        <v>8761</v>
      </c>
      <c r="B707" s="8">
        <v>3279.0169043431001</v>
      </c>
      <c r="C707" s="12">
        <v>1267.03137971929</v>
      </c>
      <c r="D707" s="8">
        <v>1.3718110841029201</v>
      </c>
      <c r="E707" s="12">
        <v>3.9644677520208104E-3</v>
      </c>
      <c r="F707" s="8" t="s">
        <v>8762</v>
      </c>
      <c r="G707" s="12" t="s">
        <v>8763</v>
      </c>
      <c r="H707" s="12">
        <v>1</v>
      </c>
      <c r="I707" s="13" t="str">
        <f>HYPERLINK("http://www.ncbi.nlm.nih.gov/gene/55288", "55288")</f>
        <v>55288</v>
      </c>
      <c r="J707" s="12" t="s">
        <v>14857</v>
      </c>
      <c r="K707" s="12" t="s">
        <v>14858</v>
      </c>
      <c r="L707" s="13" t="str">
        <f>HYPERLINK("http://asia.ensembl.org/Homo_sapiens/Gene/Summary?g=ENSG00000126858", "ENSG00000126858")</f>
        <v>ENSG00000126858</v>
      </c>
      <c r="M707" s="12" t="s">
        <v>14859</v>
      </c>
      <c r="N707" s="12" t="s">
        <v>14860</v>
      </c>
    </row>
    <row r="708" spans="1:14">
      <c r="A708" s="12" t="s">
        <v>8403</v>
      </c>
      <c r="B708" s="8">
        <v>1180.8963513718199</v>
      </c>
      <c r="C708" s="12">
        <v>456.60089704718001</v>
      </c>
      <c r="D708" s="8">
        <v>1.3708767442668599</v>
      </c>
      <c r="E708" s="12">
        <v>7.5746487782340805E-4</v>
      </c>
      <c r="F708" s="8" t="s">
        <v>8404</v>
      </c>
      <c r="G708" s="12" t="s">
        <v>8405</v>
      </c>
      <c r="H708" s="12">
        <v>1</v>
      </c>
      <c r="I708" s="13" t="str">
        <f>HYPERLINK("http://www.ncbi.nlm.nih.gov/gene/54467", "54467")</f>
        <v>54467</v>
      </c>
      <c r="J708" s="13" t="str">
        <f>HYPERLINK("http://www.ncbi.nlm.nih.gov/nuccore/NM_019004", "NM_019004")</f>
        <v>NM_019004</v>
      </c>
      <c r="K708" s="12" t="s">
        <v>8406</v>
      </c>
      <c r="L708" s="13" t="str">
        <f>HYPERLINK("http://asia.ensembl.org/Homo_sapiens/Gene/Summary?g=ENSG00000001629", "ENSG00000001629")</f>
        <v>ENSG00000001629</v>
      </c>
      <c r="M708" s="12" t="s">
        <v>14736</v>
      </c>
      <c r="N708" s="12" t="s">
        <v>14737</v>
      </c>
    </row>
    <row r="709" spans="1:14">
      <c r="A709" s="12" t="s">
        <v>495</v>
      </c>
      <c r="B709" s="8">
        <v>12715.3303641169</v>
      </c>
      <c r="C709" s="12">
        <v>4916.6813248266999</v>
      </c>
      <c r="D709" s="8">
        <v>1.3708121910990501</v>
      </c>
      <c r="E709" s="12">
        <v>1.68668085328825E-3</v>
      </c>
      <c r="F709" s="8" t="s">
        <v>496</v>
      </c>
      <c r="G709" s="12" t="s">
        <v>288</v>
      </c>
      <c r="H709" s="12">
        <v>1</v>
      </c>
      <c r="I709" s="13" t="str">
        <f>HYPERLINK("http://www.ncbi.nlm.nih.gov/gene/10672", "10672")</f>
        <v>10672</v>
      </c>
      <c r="J709" s="13" t="str">
        <f>HYPERLINK("http://www.ncbi.nlm.nih.gov/nuccore/NM_006572", "NM_006572")</f>
        <v>NM_006572</v>
      </c>
      <c r="K709" s="12" t="s">
        <v>497</v>
      </c>
      <c r="L709" s="13" t="str">
        <f>HYPERLINK("http://asia.ensembl.org/Homo_sapiens/Gene/Summary?g=ENSG00000120063", "ENSG00000120063")</f>
        <v>ENSG00000120063</v>
      </c>
      <c r="M709" s="12" t="s">
        <v>11999</v>
      </c>
      <c r="N709" s="12" t="s">
        <v>12000</v>
      </c>
    </row>
    <row r="710" spans="1:14">
      <c r="A710" s="12" t="s">
        <v>9622</v>
      </c>
      <c r="B710" s="8">
        <v>567.85330198382405</v>
      </c>
      <c r="C710" s="12">
        <v>219.57988219753599</v>
      </c>
      <c r="D710" s="8">
        <v>1.37077239371316</v>
      </c>
      <c r="E710" s="12">
        <v>9.5711229104749094E-5</v>
      </c>
      <c r="F710" s="8" t="s">
        <v>9623</v>
      </c>
      <c r="G710" s="12" t="s">
        <v>9624</v>
      </c>
      <c r="H710" s="12">
        <v>1</v>
      </c>
      <c r="I710" s="13" t="str">
        <f>HYPERLINK("http://www.ncbi.nlm.nih.gov/gene/79876", "79876")</f>
        <v>79876</v>
      </c>
      <c r="J710" s="12" t="s">
        <v>15123</v>
      </c>
      <c r="K710" s="12" t="s">
        <v>15124</v>
      </c>
      <c r="L710" s="13" t="str">
        <f>HYPERLINK("http://asia.ensembl.org/Homo_sapiens/Gene/Summary?g=ENSG00000081307", "ENSG00000081307")</f>
        <v>ENSG00000081307</v>
      </c>
      <c r="M710" s="12" t="s">
        <v>15125</v>
      </c>
      <c r="N710" s="12" t="s">
        <v>15126</v>
      </c>
    </row>
    <row r="711" spans="1:14">
      <c r="A711" s="12" t="s">
        <v>439</v>
      </c>
      <c r="B711" s="8">
        <v>21028.0311339853</v>
      </c>
      <c r="C711" s="12">
        <v>8132.1524634035504</v>
      </c>
      <c r="D711" s="8">
        <v>1.3706046075538001</v>
      </c>
      <c r="E711" s="12">
        <v>1.28668974703773E-3</v>
      </c>
      <c r="F711" s="8" t="s">
        <v>440</v>
      </c>
      <c r="G711" s="12" t="s">
        <v>441</v>
      </c>
      <c r="H711" s="12">
        <v>1</v>
      </c>
      <c r="I711" s="13" t="str">
        <f>HYPERLINK("http://www.ncbi.nlm.nih.gov/gene/56889", "56889")</f>
        <v>56889</v>
      </c>
      <c r="J711" s="13" t="str">
        <f>HYPERLINK("http://www.ncbi.nlm.nih.gov/nuccore/NM_020123", "NM_020123")</f>
        <v>NM_020123</v>
      </c>
      <c r="K711" s="12" t="s">
        <v>442</v>
      </c>
      <c r="L711" s="13" t="str">
        <f>HYPERLINK("http://asia.ensembl.org/Homo_sapiens/Gene/Summary?g=ENSG00000077147", "ENSG00000077147")</f>
        <v>ENSG00000077147</v>
      </c>
      <c r="M711" s="12" t="s">
        <v>11981</v>
      </c>
      <c r="N711" s="12" t="s">
        <v>11982</v>
      </c>
    </row>
    <row r="712" spans="1:14">
      <c r="A712" s="12" t="s">
        <v>7918</v>
      </c>
      <c r="B712" s="8">
        <v>323.33436032464499</v>
      </c>
      <c r="C712" s="12">
        <v>125.101103379568</v>
      </c>
      <c r="D712" s="8">
        <v>1.36993231495862</v>
      </c>
      <c r="E712" s="12">
        <v>1.28684052485398E-3</v>
      </c>
      <c r="F712" s="8" t="s">
        <v>7919</v>
      </c>
      <c r="G712" s="12" t="s">
        <v>1176</v>
      </c>
      <c r="H712" s="12">
        <v>1</v>
      </c>
      <c r="I712" s="13" t="str">
        <f>HYPERLINK("http://www.ncbi.nlm.nih.gov/gene/80336", "80336")</f>
        <v>80336</v>
      </c>
      <c r="J712" s="13" t="str">
        <f>HYPERLINK("http://www.ncbi.nlm.nih.gov/nuccore/NM_001124756", "NM_001124756")</f>
        <v>NM_001124756</v>
      </c>
      <c r="K712" s="12" t="s">
        <v>7920</v>
      </c>
      <c r="L712" s="13" t="str">
        <f>HYPERLINK("http://asia.ensembl.org/Homo_sapiens/Gene/Summary?g=ENSG00000101104", "ENSG00000101104")</f>
        <v>ENSG00000101104</v>
      </c>
      <c r="M712" s="12" t="s">
        <v>14610</v>
      </c>
      <c r="N712" s="12" t="s">
        <v>14611</v>
      </c>
    </row>
    <row r="713" spans="1:14">
      <c r="A713" s="12" t="s">
        <v>8029</v>
      </c>
      <c r="B713" s="8">
        <v>4666.4210781707498</v>
      </c>
      <c r="C713" s="12">
        <v>1805.64439201036</v>
      </c>
      <c r="D713" s="8">
        <v>1.3698027029859401</v>
      </c>
      <c r="E713" s="12">
        <v>7.5413976200208298E-3</v>
      </c>
      <c r="F713" s="8" t="s">
        <v>8030</v>
      </c>
      <c r="G713" s="12" t="s">
        <v>8031</v>
      </c>
      <c r="H713" s="12">
        <v>1</v>
      </c>
      <c r="I713" s="13" t="str">
        <f>HYPERLINK("http://www.ncbi.nlm.nih.gov/gene/23392", "23392")</f>
        <v>23392</v>
      </c>
      <c r="J713" s="13" t="str">
        <f>HYPERLINK("http://www.ncbi.nlm.nih.gov/nuccore/NM_001080398", "NM_001080398")</f>
        <v>NM_001080398</v>
      </c>
      <c r="K713" s="12" t="s">
        <v>8032</v>
      </c>
      <c r="L713" s="13" t="str">
        <f>HYPERLINK("http://asia.ensembl.org/Homo_sapiens/Gene/Summary?g=ENSG00000136813", "ENSG00000136813")</f>
        <v>ENSG00000136813</v>
      </c>
      <c r="M713" s="12" t="s">
        <v>14653</v>
      </c>
      <c r="N713" s="12" t="s">
        <v>14654</v>
      </c>
    </row>
    <row r="714" spans="1:14">
      <c r="A714" s="12" t="s">
        <v>527</v>
      </c>
      <c r="B714" s="8">
        <v>1485.87257767086</v>
      </c>
      <c r="C714" s="12">
        <v>575.09089990191001</v>
      </c>
      <c r="D714" s="8">
        <v>1.3694484874139801</v>
      </c>
      <c r="E714" s="12">
        <v>4.3872131618496301E-3</v>
      </c>
      <c r="F714" s="8" t="s">
        <v>528</v>
      </c>
      <c r="G714" s="12" t="s">
        <v>529</v>
      </c>
      <c r="H714" s="12">
        <v>1</v>
      </c>
      <c r="I714" s="13" t="str">
        <f>HYPERLINK("http://www.ncbi.nlm.nih.gov/gene/51474", "51474")</f>
        <v>51474</v>
      </c>
      <c r="J714" s="12" t="s">
        <v>12012</v>
      </c>
      <c r="K714" s="12" t="s">
        <v>12013</v>
      </c>
      <c r="L714" s="13" t="str">
        <f>HYPERLINK("http://asia.ensembl.org/Homo_sapiens/Gene/Summary?g=ENSG00000050405", "ENSG00000050405")</f>
        <v>ENSG00000050405</v>
      </c>
      <c r="M714" s="12" t="s">
        <v>12014</v>
      </c>
      <c r="N714" s="12" t="s">
        <v>12015</v>
      </c>
    </row>
    <row r="715" spans="1:14">
      <c r="A715" s="12" t="s">
        <v>9872</v>
      </c>
      <c r="B715" s="8">
        <v>6817.4561325715304</v>
      </c>
      <c r="C715" s="12">
        <v>2641.3349938106999</v>
      </c>
      <c r="D715" s="8">
        <v>1.36796622558395</v>
      </c>
      <c r="E715" s="12">
        <v>1.5595904061934101E-3</v>
      </c>
      <c r="F715" s="8" t="s">
        <v>4538</v>
      </c>
      <c r="G715" s="12" t="s">
        <v>15224</v>
      </c>
      <c r="H715" s="12">
        <v>1</v>
      </c>
      <c r="I715" s="13" t="str">
        <f>HYPERLINK("http://www.ncbi.nlm.nih.gov/gene/55291", "55291")</f>
        <v>55291</v>
      </c>
      <c r="J715" s="12" t="s">
        <v>15225</v>
      </c>
      <c r="K715" s="12" t="s">
        <v>15226</v>
      </c>
      <c r="L715" s="13" t="str">
        <f>HYPERLINK("http://asia.ensembl.org/Homo_sapiens/Gene/Summary?g=ENSG00000110075", "ENSG00000110075")</f>
        <v>ENSG00000110075</v>
      </c>
      <c r="M715" s="12" t="s">
        <v>15227</v>
      </c>
      <c r="N715" s="12" t="s">
        <v>15228</v>
      </c>
    </row>
    <row r="716" spans="1:14">
      <c r="A716" s="12" t="s">
        <v>6759</v>
      </c>
      <c r="B716" s="8">
        <v>2370.4629083189102</v>
      </c>
      <c r="C716" s="12">
        <v>918.83442394791598</v>
      </c>
      <c r="D716" s="8">
        <v>1.36729200563167</v>
      </c>
      <c r="E716" s="12">
        <v>3.98395609451888E-3</v>
      </c>
      <c r="F716" s="8" t="s">
        <v>6760</v>
      </c>
      <c r="G716" s="12" t="s">
        <v>6761</v>
      </c>
      <c r="H716" s="12">
        <v>1</v>
      </c>
      <c r="I716" s="13" t="str">
        <f>HYPERLINK("http://www.ncbi.nlm.nih.gov/gene/221154", "221154")</f>
        <v>221154</v>
      </c>
      <c r="J716" s="13" t="str">
        <f>HYPERLINK("http://www.ncbi.nlm.nih.gov/nuccore/NM_152726", "NM_152726")</f>
        <v>NM_152726</v>
      </c>
      <c r="K716" s="12" t="s">
        <v>6762</v>
      </c>
      <c r="L716" s="13" t="str">
        <f>HYPERLINK("http://asia.ensembl.org/Homo_sapiens/Gene/Summary?g=ENSG00000165487", "ENSG00000165487")</f>
        <v>ENSG00000165487</v>
      </c>
      <c r="M716" s="12" t="s">
        <v>14250</v>
      </c>
      <c r="N716" s="12" t="s">
        <v>14251</v>
      </c>
    </row>
    <row r="717" spans="1:14">
      <c r="A717" s="12" t="s">
        <v>5698</v>
      </c>
      <c r="B717" s="8">
        <v>3795.70933627677</v>
      </c>
      <c r="C717" s="12">
        <v>1471.53805709776</v>
      </c>
      <c r="D717" s="8">
        <v>1.3670446655318</v>
      </c>
      <c r="E717" s="12">
        <v>6.2582021302889403E-4</v>
      </c>
      <c r="F717" s="8" t="s">
        <v>5699</v>
      </c>
      <c r="G717" s="12" t="s">
        <v>13886</v>
      </c>
      <c r="H717" s="12">
        <v>1</v>
      </c>
      <c r="I717" s="13" t="str">
        <f>HYPERLINK("http://www.ncbi.nlm.nih.gov/gene/5495", "5495")</f>
        <v>5495</v>
      </c>
      <c r="J717" s="13" t="str">
        <f>HYPERLINK("http://www.ncbi.nlm.nih.gov/nuccore/NM_177968", "NM_177968")</f>
        <v>NM_177968</v>
      </c>
      <c r="K717" s="12" t="s">
        <v>5700</v>
      </c>
      <c r="L717" s="13" t="str">
        <f>HYPERLINK("http://asia.ensembl.org/Homo_sapiens/Gene/Summary?g=ENSG00000138032", "ENSG00000138032")</f>
        <v>ENSG00000138032</v>
      </c>
      <c r="M717" s="12" t="s">
        <v>13887</v>
      </c>
      <c r="N717" s="12" t="s">
        <v>13888</v>
      </c>
    </row>
    <row r="718" spans="1:14">
      <c r="A718" s="12" t="s">
        <v>7033</v>
      </c>
      <c r="B718" s="8">
        <v>981.77289036409502</v>
      </c>
      <c r="C718" s="12">
        <v>380.87360480422302</v>
      </c>
      <c r="D718" s="8">
        <v>1.3660770200840899</v>
      </c>
      <c r="E718" s="12">
        <v>4.03875460327624E-3</v>
      </c>
      <c r="F718" s="8" t="s">
        <v>7034</v>
      </c>
      <c r="G718" s="12" t="s">
        <v>14330</v>
      </c>
      <c r="H718" s="12">
        <v>1</v>
      </c>
      <c r="I718" s="13" t="str">
        <f>HYPERLINK("http://www.ncbi.nlm.nih.gov/gene/64395", "64395")</f>
        <v>64395</v>
      </c>
      <c r="J718" s="13" t="str">
        <f>HYPERLINK("http://www.ncbi.nlm.nih.gov/nuccore/NM_178439", "NM_178439")</f>
        <v>NM_178439</v>
      </c>
      <c r="K718" s="12" t="s">
        <v>7035</v>
      </c>
      <c r="L718" s="13" t="str">
        <f>HYPERLINK("http://asia.ensembl.org/Homo_sapiens/Gene/Summary?g=ENSG00000087338", "ENSG00000087338")</f>
        <v>ENSG00000087338</v>
      </c>
      <c r="M718" s="12" t="s">
        <v>14331</v>
      </c>
      <c r="N718" s="12" t="s">
        <v>7036</v>
      </c>
    </row>
    <row r="719" spans="1:14">
      <c r="A719" s="12" t="s">
        <v>861</v>
      </c>
      <c r="B719" s="8">
        <v>128.84218722786699</v>
      </c>
      <c r="C719" s="12">
        <v>49.999999999999901</v>
      </c>
      <c r="D719" s="8">
        <v>1.3656050572647001</v>
      </c>
      <c r="E719" s="12">
        <v>3.0752799643690401E-3</v>
      </c>
      <c r="F719" s="8" t="s">
        <v>862</v>
      </c>
      <c r="G719" s="12" t="s">
        <v>863</v>
      </c>
      <c r="H719" s="12">
        <v>1</v>
      </c>
      <c r="I719" s="13" t="str">
        <f>HYPERLINK("http://www.ncbi.nlm.nih.gov/gene/25780", "25780")</f>
        <v>25780</v>
      </c>
      <c r="J719" s="12" t="s">
        <v>12142</v>
      </c>
      <c r="K719" s="12" t="s">
        <v>12143</v>
      </c>
      <c r="L719" s="13" t="str">
        <f>HYPERLINK("http://asia.ensembl.org/Homo_sapiens/Gene/Summary?g=ENSG00000152689", "ENSG00000152689")</f>
        <v>ENSG00000152689</v>
      </c>
      <c r="M719" s="12" t="s">
        <v>12144</v>
      </c>
      <c r="N719" s="12" t="s">
        <v>12145</v>
      </c>
    </row>
    <row r="720" spans="1:14">
      <c r="A720" s="12" t="s">
        <v>7470</v>
      </c>
      <c r="B720" s="8">
        <v>2414.53377181835</v>
      </c>
      <c r="C720" s="12">
        <v>937.22662395573002</v>
      </c>
      <c r="D720" s="8">
        <v>1.3652747996899599</v>
      </c>
      <c r="E720" s="12">
        <v>2.2669458824572001E-4</v>
      </c>
      <c r="F720" s="8" t="s">
        <v>4444</v>
      </c>
      <c r="G720" s="12" t="s">
        <v>13235</v>
      </c>
      <c r="H720" s="12">
        <v>1</v>
      </c>
      <c r="I720" s="13" t="str">
        <f>HYPERLINK("http://www.ncbi.nlm.nih.gov/gene/5911", "5911")</f>
        <v>5911</v>
      </c>
      <c r="J720" s="13" t="str">
        <f>HYPERLINK("http://www.ncbi.nlm.nih.gov/nuccore/NM_021033", "NM_021033")</f>
        <v>NM_021033</v>
      </c>
      <c r="K720" s="12" t="s">
        <v>4445</v>
      </c>
      <c r="L720" s="13" t="str">
        <f>HYPERLINK("http://asia.ensembl.org/Homo_sapiens/Gene/Summary?g=ENSG00000125249", "ENSG00000125249")</f>
        <v>ENSG00000125249</v>
      </c>
      <c r="M720" s="12" t="s">
        <v>13236</v>
      </c>
      <c r="N720" s="12" t="s">
        <v>13237</v>
      </c>
    </row>
    <row r="721" spans="1:14">
      <c r="A721" s="12" t="s">
        <v>4570</v>
      </c>
      <c r="B721" s="8">
        <v>643.84613009833504</v>
      </c>
      <c r="C721" s="12">
        <v>249.95388581748699</v>
      </c>
      <c r="D721" s="8">
        <v>1.3650539907777799</v>
      </c>
      <c r="E721" s="12">
        <v>5.4087664172921797E-3</v>
      </c>
      <c r="F721" s="8" t="s">
        <v>4571</v>
      </c>
      <c r="G721" s="12" t="s">
        <v>4572</v>
      </c>
      <c r="H721" s="12">
        <v>1</v>
      </c>
      <c r="I721" s="13" t="str">
        <f>HYPERLINK("http://www.ncbi.nlm.nih.gov/gene/26057", "26057")</f>
        <v>26057</v>
      </c>
      <c r="J721" s="12" t="s">
        <v>13284</v>
      </c>
      <c r="K721" s="12" t="s">
        <v>13285</v>
      </c>
      <c r="L721" s="13" t="str">
        <f>HYPERLINK("http://asia.ensembl.org/Homo_sapiens/Gene/Summary?g=ENSG00000132466", "ENSG00000132466")</f>
        <v>ENSG00000132466</v>
      </c>
      <c r="M721" s="12" t="s">
        <v>13286</v>
      </c>
      <c r="N721" s="12" t="s">
        <v>13287</v>
      </c>
    </row>
    <row r="722" spans="1:14">
      <c r="A722" s="12" t="s">
        <v>7620</v>
      </c>
      <c r="B722" s="8">
        <v>15112.091287191501</v>
      </c>
      <c r="C722" s="12">
        <v>5867.3937637896997</v>
      </c>
      <c r="D722" s="8">
        <v>1.36491160134194</v>
      </c>
      <c r="E722" s="12">
        <v>5.3417132013671804E-3</v>
      </c>
      <c r="F722" s="8" t="s">
        <v>6631</v>
      </c>
      <c r="G722" s="12" t="s">
        <v>6632</v>
      </c>
      <c r="H722" s="12">
        <v>1</v>
      </c>
      <c r="I722" s="13" t="str">
        <f>HYPERLINK("http://www.ncbi.nlm.nih.gov/gene/3192", "3192")</f>
        <v>3192</v>
      </c>
      <c r="J722" s="12" t="s">
        <v>14224</v>
      </c>
      <c r="K722" s="12" t="s">
        <v>14225</v>
      </c>
      <c r="L722" s="13" t="str">
        <f>HYPERLINK("http://asia.ensembl.org/Homo_sapiens/Gene/Summary?g=ENSG00000153187", "ENSG00000153187")</f>
        <v>ENSG00000153187</v>
      </c>
      <c r="M722" s="12" t="s">
        <v>14226</v>
      </c>
      <c r="N722" s="12" t="s">
        <v>14227</v>
      </c>
    </row>
    <row r="723" spans="1:14">
      <c r="A723" s="12" t="s">
        <v>7727</v>
      </c>
      <c r="B723" s="8">
        <v>128.75462881664799</v>
      </c>
      <c r="C723" s="12">
        <v>49.999999999999901</v>
      </c>
      <c r="D723" s="8">
        <v>1.3646242990980499</v>
      </c>
      <c r="E723" s="12">
        <v>1.9880393367551299E-4</v>
      </c>
      <c r="F723" s="8" t="s">
        <v>7728</v>
      </c>
      <c r="G723" s="12" t="s">
        <v>14520</v>
      </c>
      <c r="H723" s="12">
        <v>4</v>
      </c>
      <c r="I723" s="12" t="s">
        <v>7729</v>
      </c>
      <c r="J723" s="12" t="s">
        <v>14521</v>
      </c>
      <c r="K723" s="12" t="s">
        <v>14522</v>
      </c>
      <c r="L723" s="12" t="s">
        <v>7730</v>
      </c>
      <c r="M723" s="12" t="s">
        <v>14523</v>
      </c>
      <c r="N723" s="12" t="s">
        <v>14524</v>
      </c>
    </row>
    <row r="724" spans="1:14">
      <c r="A724" s="12" t="s">
        <v>6639</v>
      </c>
      <c r="B724" s="8">
        <v>301.75088766349398</v>
      </c>
      <c r="C724" s="12">
        <v>117.212630486869</v>
      </c>
      <c r="D724" s="8">
        <v>1.36422997628314</v>
      </c>
      <c r="E724" s="12">
        <v>2.36508917594596E-3</v>
      </c>
      <c r="F724" s="8" t="s">
        <v>6640</v>
      </c>
      <c r="G724" s="12" t="s">
        <v>6641</v>
      </c>
      <c r="H724" s="12">
        <v>1</v>
      </c>
      <c r="I724" s="13" t="str">
        <f>HYPERLINK("http://www.ncbi.nlm.nih.gov/gene/10892", "10892")</f>
        <v>10892</v>
      </c>
      <c r="J724" s="12" t="s">
        <v>14228</v>
      </c>
      <c r="K724" s="12" t="s">
        <v>14229</v>
      </c>
      <c r="L724" s="13" t="str">
        <f>HYPERLINK("http://asia.ensembl.org/Homo_sapiens/Gene/Summary?g=ENSG00000172175", "ENSG00000172175")</f>
        <v>ENSG00000172175</v>
      </c>
      <c r="M724" s="12" t="s">
        <v>14230</v>
      </c>
      <c r="N724" s="12" t="s">
        <v>14231</v>
      </c>
    </row>
    <row r="725" spans="1:14">
      <c r="A725" s="12" t="s">
        <v>1114</v>
      </c>
      <c r="B725" s="8">
        <v>145.946813056922</v>
      </c>
      <c r="C725" s="12">
        <v>56.8050554901696</v>
      </c>
      <c r="D725" s="8">
        <v>1.3613514716588</v>
      </c>
      <c r="E725" s="12">
        <v>5.4179077190527202E-4</v>
      </c>
      <c r="F725" s="8" t="s">
        <v>1115</v>
      </c>
      <c r="G725" s="12" t="s">
        <v>1116</v>
      </c>
      <c r="H725" s="12">
        <v>1</v>
      </c>
      <c r="I725" s="13" t="str">
        <f>HYPERLINK("http://www.ncbi.nlm.nih.gov/gene/57677", "57677")</f>
        <v>57677</v>
      </c>
      <c r="J725" s="13" t="str">
        <f>HYPERLINK("http://www.ncbi.nlm.nih.gov/nuccore/NM_020917", "NM_020917")</f>
        <v>NM_020917</v>
      </c>
      <c r="K725" s="12" t="s">
        <v>1117</v>
      </c>
      <c r="L725" s="13" t="str">
        <f>HYPERLINK("http://asia.ensembl.org/Homo_sapiens/Gene/Summary?g=ENSG00000142065", "ENSG00000142065")</f>
        <v>ENSG00000142065</v>
      </c>
      <c r="M725" s="12" t="s">
        <v>12236</v>
      </c>
      <c r="N725" s="12" t="s">
        <v>12237</v>
      </c>
    </row>
    <row r="726" spans="1:14">
      <c r="A726" s="12" t="s">
        <v>5307</v>
      </c>
      <c r="B726" s="8">
        <v>1347.6186712173701</v>
      </c>
      <c r="C726" s="12">
        <v>525.09265351457202</v>
      </c>
      <c r="D726" s="8">
        <v>1.35976840579883</v>
      </c>
      <c r="E726" s="12">
        <v>1.0313694467379399E-3</v>
      </c>
      <c r="F726" s="8" t="s">
        <v>5308</v>
      </c>
      <c r="G726" s="12" t="s">
        <v>5309</v>
      </c>
      <c r="H726" s="12">
        <v>1</v>
      </c>
      <c r="I726" s="13" t="str">
        <f>HYPERLINK("http://www.ncbi.nlm.nih.gov/gene/64421", "64421")</f>
        <v>64421</v>
      </c>
      <c r="J726" s="12" t="s">
        <v>13679</v>
      </c>
      <c r="K726" s="12" t="s">
        <v>13680</v>
      </c>
      <c r="L726" s="13" t="str">
        <f>HYPERLINK("http://asia.ensembl.org/Homo_sapiens/Gene/Summary?g=ENSG00000152457", "ENSG00000152457")</f>
        <v>ENSG00000152457</v>
      </c>
      <c r="M726" s="12" t="s">
        <v>13681</v>
      </c>
      <c r="N726" s="12" t="s">
        <v>13682</v>
      </c>
    </row>
    <row r="727" spans="1:14">
      <c r="A727" s="12" t="s">
        <v>3619</v>
      </c>
      <c r="B727" s="8">
        <v>1528.3379463395199</v>
      </c>
      <c r="C727" s="12">
        <v>595.75460847595002</v>
      </c>
      <c r="D727" s="8">
        <v>1.3591734760366101</v>
      </c>
      <c r="E727" s="12">
        <v>4.0350054561062304E-3</v>
      </c>
      <c r="F727" s="8" t="s">
        <v>3620</v>
      </c>
      <c r="G727" s="12" t="s">
        <v>3621</v>
      </c>
      <c r="H727" s="12">
        <v>1</v>
      </c>
      <c r="I727" s="13" t="str">
        <f>HYPERLINK("http://www.ncbi.nlm.nih.gov/gene/120", "120")</f>
        <v>120</v>
      </c>
      <c r="J727" s="12" t="s">
        <v>13061</v>
      </c>
      <c r="K727" s="12" t="s">
        <v>13062</v>
      </c>
      <c r="L727" s="13" t="str">
        <f>HYPERLINK("http://asia.ensembl.org/Homo_sapiens/Gene/Summary?g=ENSG00000148700", "ENSG00000148700")</f>
        <v>ENSG00000148700</v>
      </c>
      <c r="M727" s="12" t="s">
        <v>13063</v>
      </c>
      <c r="N727" s="12" t="s">
        <v>13064</v>
      </c>
    </row>
    <row r="728" spans="1:14">
      <c r="A728" s="12" t="s">
        <v>11259</v>
      </c>
      <c r="B728" s="8">
        <v>7745.7284526872199</v>
      </c>
      <c r="C728" s="12">
        <v>3020.0213895615602</v>
      </c>
      <c r="D728" s="8">
        <v>1.35884215710525</v>
      </c>
      <c r="E728" s="12">
        <v>9.5288461419224292E-3</v>
      </c>
      <c r="F728" s="8" t="s">
        <v>3006</v>
      </c>
      <c r="G728" s="12" t="s">
        <v>3007</v>
      </c>
      <c r="H728" s="12">
        <v>1</v>
      </c>
      <c r="I728" s="13" t="str">
        <f>HYPERLINK("http://www.ncbi.nlm.nih.gov/gene/79954", "79954")</f>
        <v>79954</v>
      </c>
      <c r="J728" s="12" t="s">
        <v>16068</v>
      </c>
      <c r="K728" s="12" t="s">
        <v>16069</v>
      </c>
      <c r="L728" s="13" t="str">
        <f>HYPERLINK("http://asia.ensembl.org/Homo_sapiens/Gene/Summary?g=ENSG00000115761", "ENSG00000115761")</f>
        <v>ENSG00000115761</v>
      </c>
      <c r="M728" s="12" t="s">
        <v>16070</v>
      </c>
      <c r="N728" s="12" t="s">
        <v>16071</v>
      </c>
    </row>
    <row r="729" spans="1:14">
      <c r="A729" s="12" t="s">
        <v>11613</v>
      </c>
      <c r="B729" s="8">
        <v>2145.58287546669</v>
      </c>
      <c r="C729" s="12">
        <v>836.674093792691</v>
      </c>
      <c r="D729" s="8">
        <v>1.3586319575599</v>
      </c>
      <c r="E729" s="12">
        <v>9.3395477569679693E-3</v>
      </c>
      <c r="F729" s="8" t="s">
        <v>11608</v>
      </c>
      <c r="G729" s="12" t="s">
        <v>16159</v>
      </c>
      <c r="H729" s="12">
        <v>4</v>
      </c>
      <c r="I729" s="12" t="s">
        <v>11609</v>
      </c>
      <c r="J729" s="12" t="s">
        <v>11610</v>
      </c>
      <c r="K729" s="12" t="s">
        <v>11611</v>
      </c>
      <c r="L729" s="12" t="s">
        <v>11612</v>
      </c>
      <c r="M729" s="12" t="s">
        <v>16160</v>
      </c>
      <c r="N729" s="12" t="s">
        <v>16161</v>
      </c>
    </row>
    <row r="730" spans="1:14">
      <c r="A730" s="12" t="s">
        <v>9035</v>
      </c>
      <c r="B730" s="8">
        <v>6477.7253725366199</v>
      </c>
      <c r="C730" s="12">
        <v>2526.7115142020102</v>
      </c>
      <c r="D730" s="8">
        <v>1.3582263505872301</v>
      </c>
      <c r="E730" s="12">
        <v>4.4922125147699001E-3</v>
      </c>
      <c r="F730" s="8" t="s">
        <v>9036</v>
      </c>
      <c r="G730" s="12" t="s">
        <v>9037</v>
      </c>
      <c r="H730" s="12">
        <v>1</v>
      </c>
      <c r="I730" s="13" t="str">
        <f>HYPERLINK("http://www.ncbi.nlm.nih.gov/gene/10236", "10236")</f>
        <v>10236</v>
      </c>
      <c r="J730" s="12" t="s">
        <v>14975</v>
      </c>
      <c r="K730" s="12" t="s">
        <v>14976</v>
      </c>
      <c r="L730" s="13" t="str">
        <f>HYPERLINK("http://asia.ensembl.org/Homo_sapiens/Gene/Summary?g=ENSG00000125944", "ENSG00000125944")</f>
        <v>ENSG00000125944</v>
      </c>
      <c r="M730" s="12" t="s">
        <v>14977</v>
      </c>
      <c r="N730" s="12" t="s">
        <v>14978</v>
      </c>
    </row>
    <row r="731" spans="1:14">
      <c r="A731" s="12" t="s">
        <v>5983</v>
      </c>
      <c r="B731" s="8">
        <v>1465.2686336546001</v>
      </c>
      <c r="C731" s="12">
        <v>571.56501156020397</v>
      </c>
      <c r="D731" s="8">
        <v>1.35817567459077</v>
      </c>
      <c r="E731" s="12">
        <v>8.7739609552002398E-4</v>
      </c>
      <c r="F731" s="8" t="s">
        <v>5984</v>
      </c>
      <c r="G731" s="12" t="s">
        <v>5985</v>
      </c>
      <c r="H731" s="12">
        <v>1</v>
      </c>
      <c r="I731" s="13" t="str">
        <f>HYPERLINK("http://www.ncbi.nlm.nih.gov/gene/10927", "10927")</f>
        <v>10927</v>
      </c>
      <c r="J731" s="13" t="str">
        <f>HYPERLINK("http://www.ncbi.nlm.nih.gov/nuccore/NM_006717", "NM_006717")</f>
        <v>NM_006717</v>
      </c>
      <c r="K731" s="12" t="s">
        <v>5986</v>
      </c>
      <c r="L731" s="13" t="str">
        <f>HYPERLINK("http://asia.ensembl.org/Homo_sapiens/Gene/Summary?g=ENSG00000106723", "ENSG00000106723")</f>
        <v>ENSG00000106723</v>
      </c>
      <c r="M731" s="12" t="s">
        <v>13995</v>
      </c>
      <c r="N731" s="12" t="s">
        <v>5987</v>
      </c>
    </row>
    <row r="732" spans="1:14">
      <c r="A732" s="12" t="s">
        <v>8083</v>
      </c>
      <c r="B732" s="8">
        <v>891.30608813502499</v>
      </c>
      <c r="C732" s="12">
        <v>347.741169130797</v>
      </c>
      <c r="D732" s="8">
        <v>1.3579070823020301</v>
      </c>
      <c r="E732" s="12">
        <v>5.5976037262836604E-3</v>
      </c>
      <c r="F732" s="8" t="s">
        <v>8084</v>
      </c>
      <c r="G732" s="12" t="s">
        <v>8085</v>
      </c>
      <c r="H732" s="12">
        <v>4</v>
      </c>
      <c r="I732" s="12" t="s">
        <v>8086</v>
      </c>
      <c r="J732" s="12" t="s">
        <v>8087</v>
      </c>
      <c r="K732" s="12" t="s">
        <v>8088</v>
      </c>
      <c r="L732" s="12" t="s">
        <v>8089</v>
      </c>
      <c r="M732" s="12" t="s">
        <v>8090</v>
      </c>
      <c r="N732" s="12" t="s">
        <v>8091</v>
      </c>
    </row>
    <row r="733" spans="1:14">
      <c r="A733" s="12" t="s">
        <v>10326</v>
      </c>
      <c r="B733" s="8">
        <v>19124.150537622099</v>
      </c>
      <c r="C733" s="12">
        <v>7461.9131584898096</v>
      </c>
      <c r="D733" s="8">
        <v>1.3577781918325</v>
      </c>
      <c r="E733" s="12">
        <v>1.5804522412326698E-2</v>
      </c>
      <c r="F733" s="8" t="s">
        <v>7277</v>
      </c>
      <c r="G733" s="12" t="s">
        <v>7278</v>
      </c>
      <c r="H733" s="12">
        <v>1</v>
      </c>
      <c r="I733" s="13" t="str">
        <f>HYPERLINK("http://www.ncbi.nlm.nih.gov/gene/55706", "55706")</f>
        <v>55706</v>
      </c>
      <c r="J733" s="12" t="s">
        <v>15397</v>
      </c>
      <c r="K733" s="12" t="s">
        <v>15398</v>
      </c>
      <c r="L733" s="13" t="str">
        <f>HYPERLINK("http://asia.ensembl.org/Homo_sapiens/Gene/Summary?g=ENSG00000058804", "ENSG00000058804")</f>
        <v>ENSG00000058804</v>
      </c>
      <c r="M733" s="12" t="s">
        <v>15399</v>
      </c>
      <c r="N733" s="12" t="s">
        <v>7279</v>
      </c>
    </row>
    <row r="734" spans="1:14">
      <c r="A734" s="12" t="s">
        <v>8513</v>
      </c>
      <c r="B734" s="8">
        <v>390.52651025818199</v>
      </c>
      <c r="C734" s="12">
        <v>152.37894248398899</v>
      </c>
      <c r="D734" s="8">
        <v>1.3577569386803301</v>
      </c>
      <c r="E734" s="12">
        <v>1.42354305164923E-3</v>
      </c>
      <c r="F734" s="8" t="s">
        <v>8514</v>
      </c>
      <c r="G734" s="12" t="s">
        <v>8515</v>
      </c>
      <c r="H734" s="12">
        <v>1</v>
      </c>
      <c r="I734" s="13" t="str">
        <f>HYPERLINK("http://www.ncbi.nlm.nih.gov/gene/90523", "90523")</f>
        <v>90523</v>
      </c>
      <c r="J734" s="13" t="str">
        <f>HYPERLINK("http://www.ncbi.nlm.nih.gov/nuccore/NM_138569", "NM_138569")</f>
        <v>NM_138569</v>
      </c>
      <c r="K734" s="12" t="s">
        <v>8516</v>
      </c>
      <c r="L734" s="13" t="str">
        <f>HYPERLINK("http://asia.ensembl.org/Homo_sapiens/Gene/Summary?g=ENSG00000146147", "ENSG00000146147")</f>
        <v>ENSG00000146147</v>
      </c>
      <c r="M734" s="12" t="s">
        <v>14774</v>
      </c>
      <c r="N734" s="12" t="s">
        <v>14775</v>
      </c>
    </row>
    <row r="735" spans="1:14">
      <c r="A735" s="12" t="s">
        <v>6020</v>
      </c>
      <c r="B735" s="8">
        <v>1693.5018115755399</v>
      </c>
      <c r="C735" s="12">
        <v>661.01973643299596</v>
      </c>
      <c r="D735" s="8">
        <v>1.3572442772801001</v>
      </c>
      <c r="E735" s="12">
        <v>7.1721894399639904E-3</v>
      </c>
      <c r="F735" s="8" t="s">
        <v>6021</v>
      </c>
      <c r="G735" s="12" t="s">
        <v>6022</v>
      </c>
      <c r="H735" s="12">
        <v>1</v>
      </c>
      <c r="I735" s="13" t="str">
        <f>HYPERLINK("http://www.ncbi.nlm.nih.gov/gene/55031", "55031")</f>
        <v>55031</v>
      </c>
      <c r="J735" s="13" t="str">
        <f>HYPERLINK("http://www.ncbi.nlm.nih.gov/nuccore/NM_017944", "NM_017944")</f>
        <v>NM_017944</v>
      </c>
      <c r="K735" s="12" t="s">
        <v>6023</v>
      </c>
      <c r="L735" s="13" t="str">
        <f>HYPERLINK("http://asia.ensembl.org/Homo_sapiens/Gene/Summary?g=ENSG00000170242", "ENSG00000170242")</f>
        <v>ENSG00000170242</v>
      </c>
      <c r="M735" s="12" t="s">
        <v>14014</v>
      </c>
      <c r="N735" s="12" t="s">
        <v>14015</v>
      </c>
    </row>
    <row r="736" spans="1:14">
      <c r="A736" s="12" t="s">
        <v>4488</v>
      </c>
      <c r="B736" s="8">
        <v>651.91552654500697</v>
      </c>
      <c r="C736" s="12">
        <v>254.55159309432801</v>
      </c>
      <c r="D736" s="8">
        <v>1.35672694139449</v>
      </c>
      <c r="E736" s="12">
        <v>1.17797058362438E-2</v>
      </c>
      <c r="F736" s="8" t="s">
        <v>4489</v>
      </c>
      <c r="G736" s="12" t="s">
        <v>4490</v>
      </c>
      <c r="H736" s="12">
        <v>1</v>
      </c>
      <c r="I736" s="13" t="str">
        <f>HYPERLINK("http://www.ncbi.nlm.nih.gov/gene/83548", "83548")</f>
        <v>83548</v>
      </c>
      <c r="J736" s="13" t="str">
        <f>HYPERLINK("http://www.ncbi.nlm.nih.gov/nuccore/NM_031431", "NM_031431")</f>
        <v>NM_031431</v>
      </c>
      <c r="K736" s="12" t="s">
        <v>4491</v>
      </c>
      <c r="L736" s="13" t="str">
        <f>HYPERLINK("http://asia.ensembl.org/Homo_sapiens/Gene/Summary?g=ENSG00000136152", "ENSG00000136152")</f>
        <v>ENSG00000136152</v>
      </c>
      <c r="M736" s="12" t="s">
        <v>13255</v>
      </c>
      <c r="N736" s="12" t="s">
        <v>13256</v>
      </c>
    </row>
    <row r="737" spans="1:14">
      <c r="A737" s="12" t="s">
        <v>9097</v>
      </c>
      <c r="B737" s="8">
        <v>686.01586254236702</v>
      </c>
      <c r="C737" s="12">
        <v>267.93125242680799</v>
      </c>
      <c r="D737" s="8">
        <v>1.35637906386689</v>
      </c>
      <c r="E737" s="12">
        <v>3.5748489541865798E-3</v>
      </c>
      <c r="F737" s="8" t="s">
        <v>3370</v>
      </c>
      <c r="G737" s="12" t="s">
        <v>3371</v>
      </c>
      <c r="H737" s="12">
        <v>1</v>
      </c>
      <c r="I737" s="13" t="str">
        <f>HYPERLINK("http://www.ncbi.nlm.nih.gov/gene/114800", "114800")</f>
        <v>114800</v>
      </c>
      <c r="J737" s="13" t="str">
        <f>HYPERLINK("http://www.ncbi.nlm.nih.gov/nuccore/NM_001080433", "NM_001080433")</f>
        <v>NM_001080433</v>
      </c>
      <c r="K737" s="12" t="s">
        <v>3372</v>
      </c>
      <c r="L737" s="13" t="str">
        <f>HYPERLINK("http://asia.ensembl.org/Homo_sapiens/Gene/Summary?g=ENSG00000055813", "ENSG00000055813")</f>
        <v>ENSG00000055813</v>
      </c>
      <c r="M737" s="12" t="s">
        <v>3373</v>
      </c>
      <c r="N737" s="12" t="s">
        <v>3374</v>
      </c>
    </row>
    <row r="738" spans="1:14">
      <c r="A738" s="12" t="s">
        <v>9900</v>
      </c>
      <c r="B738" s="8">
        <v>544.51580435027097</v>
      </c>
      <c r="C738" s="12">
        <v>212.678577673197</v>
      </c>
      <c r="D738" s="8">
        <v>1.3562991999087599</v>
      </c>
      <c r="E738" s="12">
        <v>3.9756988980366803E-3</v>
      </c>
      <c r="F738" s="8" t="s">
        <v>4319</v>
      </c>
      <c r="G738" s="12" t="s">
        <v>4320</v>
      </c>
      <c r="H738" s="12">
        <v>1</v>
      </c>
      <c r="I738" s="13" t="str">
        <f>HYPERLINK("http://www.ncbi.nlm.nih.gov/gene/80254", "80254")</f>
        <v>80254</v>
      </c>
      <c r="J738" s="13" t="str">
        <f>HYPERLINK("http://www.ncbi.nlm.nih.gov/nuccore/NM_001042384", "NM_001042384")</f>
        <v>NM_001042384</v>
      </c>
      <c r="K738" s="12" t="s">
        <v>9901</v>
      </c>
      <c r="L738" s="13" t="str">
        <f>HYPERLINK("http://asia.ensembl.org/Homo_sapiens/Gene/Summary?g=ENSG00000182923", "ENSG00000182923")</f>
        <v>ENSG00000182923</v>
      </c>
      <c r="M738" s="12" t="s">
        <v>15235</v>
      </c>
      <c r="N738" s="12" t="s">
        <v>15236</v>
      </c>
    </row>
    <row r="739" spans="1:14">
      <c r="A739" s="12" t="s">
        <v>11223</v>
      </c>
      <c r="B739" s="8">
        <v>3812.9023739811601</v>
      </c>
      <c r="C739" s="12">
        <v>1490.5414154175701</v>
      </c>
      <c r="D739" s="8">
        <v>1.3550531307278</v>
      </c>
      <c r="E739" s="12">
        <v>1.7072872344989201E-3</v>
      </c>
      <c r="F739" s="8" t="s">
        <v>9217</v>
      </c>
      <c r="G739" s="12" t="s">
        <v>9218</v>
      </c>
      <c r="H739" s="12">
        <v>1</v>
      </c>
      <c r="I739" s="13" t="str">
        <f>HYPERLINK("http://www.ncbi.nlm.nih.gov/gene/219333", "219333")</f>
        <v>219333</v>
      </c>
      <c r="J739" s="13" t="str">
        <f>HYPERLINK("http://www.ncbi.nlm.nih.gov/nuccore/NM_182488", "NM_182488")</f>
        <v>NM_182488</v>
      </c>
      <c r="K739" s="12" t="s">
        <v>9219</v>
      </c>
      <c r="L739" s="13" t="str">
        <f>HYPERLINK("http://asia.ensembl.org/Homo_sapiens/Gene/Summary?g=ENSG00000152484", "ENSG00000152484")</f>
        <v>ENSG00000152484</v>
      </c>
      <c r="M739" s="12" t="s">
        <v>15017</v>
      </c>
      <c r="N739" s="12" t="s">
        <v>15018</v>
      </c>
    </row>
    <row r="740" spans="1:14">
      <c r="A740" s="12" t="s">
        <v>9118</v>
      </c>
      <c r="B740" s="8">
        <v>320.56907982730701</v>
      </c>
      <c r="C740" s="12">
        <v>125.417450959679</v>
      </c>
      <c r="D740" s="8">
        <v>1.3538971754683999</v>
      </c>
      <c r="E740" s="12">
        <v>4.99417651889833E-3</v>
      </c>
      <c r="F740" s="8" t="s">
        <v>9119</v>
      </c>
      <c r="G740" s="12" t="s">
        <v>14994</v>
      </c>
      <c r="H740" s="12">
        <v>1</v>
      </c>
      <c r="I740" s="13" t="str">
        <f>HYPERLINK("http://www.ncbi.nlm.nih.gov/gene/55655", "55655")</f>
        <v>55655</v>
      </c>
      <c r="J740" s="12" t="s">
        <v>14995</v>
      </c>
      <c r="K740" s="12" t="s">
        <v>14996</v>
      </c>
      <c r="L740" s="13" t="str">
        <f>HYPERLINK("http://asia.ensembl.org/Homo_sapiens/Gene/Summary?g=ENSG00000022556", "ENSG00000022556")</f>
        <v>ENSG00000022556</v>
      </c>
      <c r="M740" s="12" t="s">
        <v>14997</v>
      </c>
      <c r="N740" s="12" t="s">
        <v>14998</v>
      </c>
    </row>
    <row r="741" spans="1:14">
      <c r="A741" s="12" t="s">
        <v>4854</v>
      </c>
      <c r="B741" s="8">
        <v>11848.161608099999</v>
      </c>
      <c r="C741" s="12">
        <v>4638.7459555953401</v>
      </c>
      <c r="D741" s="8">
        <v>1.3528564809467201</v>
      </c>
      <c r="E741" s="12">
        <v>2.4236936694647599E-3</v>
      </c>
      <c r="F741" s="8" t="s">
        <v>4855</v>
      </c>
      <c r="G741" s="12" t="s">
        <v>4856</v>
      </c>
      <c r="H741" s="12">
        <v>1</v>
      </c>
      <c r="I741" s="13" t="str">
        <f>HYPERLINK("http://www.ncbi.nlm.nih.gov/gene/27336", "27336")</f>
        <v>27336</v>
      </c>
      <c r="J741" s="12" t="s">
        <v>13431</v>
      </c>
      <c r="K741" s="12" t="s">
        <v>13432</v>
      </c>
      <c r="L741" s="13" t="str">
        <f>HYPERLINK("http://asia.ensembl.org/Homo_sapiens/Gene/Summary?g=ENSG00000102241", "ENSG00000102241")</f>
        <v>ENSG00000102241</v>
      </c>
      <c r="M741" s="12" t="s">
        <v>13433</v>
      </c>
      <c r="N741" s="12" t="s">
        <v>13434</v>
      </c>
    </row>
    <row r="742" spans="1:14">
      <c r="A742" s="12" t="s">
        <v>7094</v>
      </c>
      <c r="B742" s="8">
        <v>1840.3683121966701</v>
      </c>
      <c r="C742" s="12">
        <v>720.59152690445501</v>
      </c>
      <c r="D742" s="8">
        <v>1.3527409281692999</v>
      </c>
      <c r="E742" s="12">
        <v>1.57748182998309E-3</v>
      </c>
      <c r="F742" s="8" t="s">
        <v>7095</v>
      </c>
      <c r="G742" s="12" t="s">
        <v>7096</v>
      </c>
      <c r="H742" s="12">
        <v>1</v>
      </c>
      <c r="I742" s="13" t="str">
        <f>HYPERLINK("http://www.ncbi.nlm.nih.gov/gene/6940", "6940")</f>
        <v>6940</v>
      </c>
      <c r="J742" s="13" t="str">
        <f>HYPERLINK("http://www.ncbi.nlm.nih.gov/nuccore/NM_005649", "NM_005649")</f>
        <v>NM_005649</v>
      </c>
      <c r="K742" s="12" t="s">
        <v>7097</v>
      </c>
      <c r="L742" s="13" t="str">
        <f>HYPERLINK("http://asia.ensembl.org/Homo_sapiens/Gene/Summary?g=ENSG00000169131", "ENSG00000169131")</f>
        <v>ENSG00000169131</v>
      </c>
      <c r="M742" s="12" t="s">
        <v>14352</v>
      </c>
      <c r="N742" s="12" t="s">
        <v>14353</v>
      </c>
    </row>
    <row r="743" spans="1:14">
      <c r="A743" s="12" t="s">
        <v>2205</v>
      </c>
      <c r="B743" s="8">
        <v>127.69433888655399</v>
      </c>
      <c r="C743" s="12">
        <v>49.999999999999901</v>
      </c>
      <c r="D743" s="8">
        <v>1.3526945670035799</v>
      </c>
      <c r="E743" s="12">
        <v>1.3149812088821401E-4</v>
      </c>
      <c r="F743" s="8" t="s">
        <v>2206</v>
      </c>
      <c r="G743" s="12" t="s">
        <v>2207</v>
      </c>
      <c r="H743" s="12">
        <v>1</v>
      </c>
      <c r="I743" s="13" t="str">
        <f>HYPERLINK("http://www.ncbi.nlm.nih.gov/gene/728409", "728409")</f>
        <v>728409</v>
      </c>
      <c r="J743" s="13" t="str">
        <f>HYPERLINK("http://www.ncbi.nlm.nih.gov/nuccore/NR_024102", "NR_024102")</f>
        <v>NR_024102</v>
      </c>
      <c r="K743" s="12" t="s">
        <v>199</v>
      </c>
      <c r="L743" s="13" t="str">
        <f>HYPERLINK("http://asia.ensembl.org/Homo_sapiens/Gene/Summary?g=ENSG00000229086", "ENSG00000229086")</f>
        <v>ENSG00000229086</v>
      </c>
      <c r="M743" s="12" t="s">
        <v>2208</v>
      </c>
    </row>
    <row r="744" spans="1:14">
      <c r="A744" s="12" t="s">
        <v>4624</v>
      </c>
      <c r="B744" s="8">
        <v>192.52273111089099</v>
      </c>
      <c r="C744" s="12">
        <v>75.397455332723695</v>
      </c>
      <c r="D744" s="8">
        <v>1.3524410560980999</v>
      </c>
      <c r="E744" s="12">
        <v>4.6405937590370096E-3</v>
      </c>
      <c r="F744" s="8" t="s">
        <v>4625</v>
      </c>
      <c r="G744" s="12" t="s">
        <v>13325</v>
      </c>
      <c r="H744" s="12">
        <v>1</v>
      </c>
      <c r="I744" s="13" t="str">
        <f>HYPERLINK("http://www.ncbi.nlm.nih.gov/gene/8467", "8467")</f>
        <v>8467</v>
      </c>
      <c r="J744" s="13" t="str">
        <f>HYPERLINK("http://www.ncbi.nlm.nih.gov/nuccore/NM_003601", "NM_003601")</f>
        <v>NM_003601</v>
      </c>
      <c r="K744" s="12" t="s">
        <v>4626</v>
      </c>
      <c r="L744" s="13" t="str">
        <f>HYPERLINK("http://asia.ensembl.org/Homo_sapiens/Gene/Summary?g=ENSG00000153147", "ENSG00000153147")</f>
        <v>ENSG00000153147</v>
      </c>
      <c r="M744" s="12" t="s">
        <v>13326</v>
      </c>
      <c r="N744" s="12" t="s">
        <v>4627</v>
      </c>
    </row>
    <row r="745" spans="1:14">
      <c r="A745" s="12" t="s">
        <v>4973</v>
      </c>
      <c r="B745" s="8">
        <v>793.09984776904003</v>
      </c>
      <c r="C745" s="12">
        <v>310.64900317117002</v>
      </c>
      <c r="D745" s="8">
        <v>1.3522170814168999</v>
      </c>
      <c r="E745" s="12">
        <v>2.0539528265151202E-3</v>
      </c>
      <c r="F745" s="8" t="s">
        <v>4974</v>
      </c>
      <c r="G745" s="12" t="s">
        <v>4975</v>
      </c>
      <c r="H745" s="12">
        <v>1</v>
      </c>
      <c r="I745" s="13" t="str">
        <f>HYPERLINK("http://www.ncbi.nlm.nih.gov/gene/55127", "55127")</f>
        <v>55127</v>
      </c>
      <c r="J745" s="13" t="str">
        <f>HYPERLINK("http://www.ncbi.nlm.nih.gov/nuccore/NM_018072", "NM_018072")</f>
        <v>NM_018072</v>
      </c>
      <c r="K745" s="12" t="s">
        <v>4976</v>
      </c>
      <c r="L745" s="13" t="str">
        <f>HYPERLINK("http://asia.ensembl.org/Homo_sapiens/Gene/Summary?g=ENSG00000119285", "ENSG00000119285")</f>
        <v>ENSG00000119285</v>
      </c>
      <c r="M745" s="12" t="s">
        <v>13514</v>
      </c>
      <c r="N745" s="12" t="s">
        <v>13515</v>
      </c>
    </row>
    <row r="746" spans="1:14">
      <c r="A746" s="12" t="s">
        <v>3874</v>
      </c>
      <c r="B746" s="8">
        <v>649.43273958271902</v>
      </c>
      <c r="C746" s="12">
        <v>254.381928425464</v>
      </c>
      <c r="D746" s="8">
        <v>1.352183932837</v>
      </c>
      <c r="E746" s="12">
        <v>1.40701584027318E-2</v>
      </c>
      <c r="F746" s="8" t="s">
        <v>38</v>
      </c>
      <c r="G746" s="12" t="s">
        <v>38</v>
      </c>
      <c r="H746" s="12">
        <v>1</v>
      </c>
      <c r="I746" s="12" t="s">
        <v>38</v>
      </c>
      <c r="J746" s="12" t="s">
        <v>38</v>
      </c>
      <c r="K746" s="12" t="s">
        <v>38</v>
      </c>
      <c r="L746" s="13" t="str">
        <f>HYPERLINK("http://asia.ensembl.org/Homo_sapiens/Gene/Summary?g=ENSG00000197555", "ENSG00000197555")</f>
        <v>ENSG00000197555</v>
      </c>
      <c r="M746" s="12" t="s">
        <v>3875</v>
      </c>
      <c r="N746" s="12" t="s">
        <v>13114</v>
      </c>
    </row>
    <row r="747" spans="1:14">
      <c r="A747" s="12" t="s">
        <v>7712</v>
      </c>
      <c r="B747" s="8">
        <v>135.55300668580799</v>
      </c>
      <c r="C747" s="12">
        <v>53.122099789518302</v>
      </c>
      <c r="D747" s="8">
        <v>1.35147303457687</v>
      </c>
      <c r="E747" s="12">
        <v>1.24732294926915E-3</v>
      </c>
      <c r="F747" s="8" t="s">
        <v>7713</v>
      </c>
      <c r="G747" s="12" t="s">
        <v>7714</v>
      </c>
      <c r="H747" s="12">
        <v>1</v>
      </c>
      <c r="I747" s="13" t="str">
        <f>HYPERLINK("http://www.ncbi.nlm.nih.gov/gene/387849", "387849")</f>
        <v>387849</v>
      </c>
      <c r="J747" s="13" t="str">
        <f>HYPERLINK("http://www.ncbi.nlm.nih.gov/nuccore/NM_001029874", "NM_001029874")</f>
        <v>NM_001029874</v>
      </c>
      <c r="K747" s="12" t="s">
        <v>7715</v>
      </c>
      <c r="L747" s="13" t="str">
        <f>HYPERLINK("http://asia.ensembl.org/Homo_sapiens/Gene/Summary?g=ENSG00000174236", "ENSG00000174236")</f>
        <v>ENSG00000174236</v>
      </c>
      <c r="M747" s="12" t="s">
        <v>7716</v>
      </c>
      <c r="N747" s="12" t="s">
        <v>7717</v>
      </c>
    </row>
    <row r="748" spans="1:14">
      <c r="A748" s="12" t="s">
        <v>249</v>
      </c>
      <c r="B748" s="8">
        <v>4821.38292028258</v>
      </c>
      <c r="C748" s="12">
        <v>1890.32917249512</v>
      </c>
      <c r="D748" s="8">
        <v>1.3508095348931899</v>
      </c>
      <c r="E748" s="12">
        <v>3.1082053485045999E-3</v>
      </c>
      <c r="F748" s="8" t="s">
        <v>250</v>
      </c>
      <c r="G748" s="12" t="s">
        <v>251</v>
      </c>
      <c r="H748" s="12">
        <v>1</v>
      </c>
      <c r="I748" s="13" t="str">
        <f>HYPERLINK("http://www.ncbi.nlm.nih.gov/gene/1362", "1362")</f>
        <v>1362</v>
      </c>
      <c r="J748" s="12" t="s">
        <v>11921</v>
      </c>
      <c r="K748" s="12" t="s">
        <v>11922</v>
      </c>
      <c r="L748" s="13" t="str">
        <f>HYPERLINK("http://asia.ensembl.org/Homo_sapiens/Gene/Summary?g=ENSG00000108582", "ENSG00000108582")</f>
        <v>ENSG00000108582</v>
      </c>
      <c r="M748" s="12" t="s">
        <v>11923</v>
      </c>
      <c r="N748" s="12" t="s">
        <v>11924</v>
      </c>
    </row>
    <row r="749" spans="1:14">
      <c r="A749" s="12" t="s">
        <v>9163</v>
      </c>
      <c r="B749" s="8">
        <v>1739.9356702269499</v>
      </c>
      <c r="C749" s="12">
        <v>682.79630687685801</v>
      </c>
      <c r="D749" s="8">
        <v>1.3495068067965399</v>
      </c>
      <c r="E749" s="12">
        <v>3.4540725090436899E-3</v>
      </c>
      <c r="F749" s="8" t="s">
        <v>9164</v>
      </c>
      <c r="G749" s="12" t="s">
        <v>15001</v>
      </c>
      <c r="H749" s="12">
        <v>1</v>
      </c>
      <c r="I749" s="13" t="str">
        <f>HYPERLINK("http://www.ncbi.nlm.nih.gov/gene/8894", "8894")</f>
        <v>8894</v>
      </c>
      <c r="J749" s="13" t="str">
        <f>HYPERLINK("http://www.ncbi.nlm.nih.gov/nuccore/NM_003908", "NM_003908")</f>
        <v>NM_003908</v>
      </c>
      <c r="K749" s="12" t="s">
        <v>9165</v>
      </c>
      <c r="L749" s="13" t="str">
        <f>HYPERLINK("http://asia.ensembl.org/Homo_sapiens/Gene/Summary?g=ENSG00000125977", "ENSG00000125977")</f>
        <v>ENSG00000125977</v>
      </c>
      <c r="M749" s="12" t="s">
        <v>9166</v>
      </c>
      <c r="N749" s="12" t="s">
        <v>9167</v>
      </c>
    </row>
    <row r="750" spans="1:14">
      <c r="A750" s="12" t="s">
        <v>2027</v>
      </c>
      <c r="B750" s="8">
        <v>4899.7401475640299</v>
      </c>
      <c r="C750" s="12">
        <v>1923.0022104145501</v>
      </c>
      <c r="D750" s="8">
        <v>1.34934481848128</v>
      </c>
      <c r="E750" s="12">
        <v>2.60307776863291E-3</v>
      </c>
      <c r="F750" s="8" t="s">
        <v>2028</v>
      </c>
      <c r="G750" s="12" t="s">
        <v>2029</v>
      </c>
      <c r="H750" s="12">
        <v>1</v>
      </c>
      <c r="I750" s="13" t="str">
        <f>HYPERLINK("http://www.ncbi.nlm.nih.gov/gene/4664", "4664")</f>
        <v>4664</v>
      </c>
      <c r="J750" s="13" t="str">
        <f>HYPERLINK("http://www.ncbi.nlm.nih.gov/nuccore/NM_005966", "NM_005966")</f>
        <v>NM_005966</v>
      </c>
      <c r="K750" s="12" t="s">
        <v>2030</v>
      </c>
      <c r="L750" s="13" t="str">
        <f>HYPERLINK("http://asia.ensembl.org/Homo_sapiens/Gene/Summary?g=ENSG00000138386", "ENSG00000138386")</f>
        <v>ENSG00000138386</v>
      </c>
      <c r="M750" s="12" t="s">
        <v>12519</v>
      </c>
      <c r="N750" s="12" t="s">
        <v>12520</v>
      </c>
    </row>
    <row r="751" spans="1:14">
      <c r="A751" s="12" t="s">
        <v>7561</v>
      </c>
      <c r="B751" s="8">
        <v>1196.5074439139801</v>
      </c>
      <c r="C751" s="12">
        <v>469.73647437590898</v>
      </c>
      <c r="D751" s="8">
        <v>1.3489058461455401</v>
      </c>
      <c r="E751" s="12">
        <v>8.4426519797032706E-3</v>
      </c>
      <c r="F751" s="8" t="s">
        <v>4565</v>
      </c>
      <c r="G751" s="12" t="s">
        <v>4566</v>
      </c>
      <c r="H751" s="12">
        <v>1</v>
      </c>
      <c r="I751" s="13" t="str">
        <f>HYPERLINK("http://www.ncbi.nlm.nih.gov/gene/9694", "9694")</f>
        <v>9694</v>
      </c>
      <c r="J751" s="13" t="str">
        <f>HYPERLINK("http://www.ncbi.nlm.nih.gov/nuccore/NM_014673", "NM_014673")</f>
        <v>NM_014673</v>
      </c>
      <c r="K751" s="12" t="s">
        <v>4567</v>
      </c>
      <c r="L751" s="13" t="str">
        <f>HYPERLINK("http://asia.ensembl.org/Homo_sapiens/Gene/Summary?g=ENSG00000104412", "ENSG00000104412")</f>
        <v>ENSG00000104412</v>
      </c>
      <c r="M751" s="12" t="s">
        <v>14471</v>
      </c>
      <c r="N751" s="12" t="s">
        <v>14472</v>
      </c>
    </row>
    <row r="752" spans="1:14">
      <c r="A752" s="12" t="s">
        <v>10736</v>
      </c>
      <c r="B752" s="8">
        <v>1330.86988453615</v>
      </c>
      <c r="C752" s="12">
        <v>522.58623035636003</v>
      </c>
      <c r="D752" s="8">
        <v>1.3486285131974001</v>
      </c>
      <c r="E752" s="12">
        <v>2.3195607357515001E-3</v>
      </c>
      <c r="F752" s="8" t="s">
        <v>4496</v>
      </c>
      <c r="G752" s="12" t="s">
        <v>4497</v>
      </c>
      <c r="H752" s="12">
        <v>1</v>
      </c>
      <c r="I752" s="13" t="str">
        <f>HYPERLINK("http://www.ncbi.nlm.nih.gov/gene/51028", "51028")</f>
        <v>51028</v>
      </c>
      <c r="J752" s="13" t="str">
        <f>HYPERLINK("http://www.ncbi.nlm.nih.gov/nuccore/NM_016075", "NM_016075")</f>
        <v>NM_016075</v>
      </c>
      <c r="K752" s="12" t="s">
        <v>4498</v>
      </c>
      <c r="L752" s="13" t="str">
        <f>HYPERLINK("http://asia.ensembl.org/Homo_sapiens/Gene/Summary?g=ENSG00000136100", "ENSG00000136100")</f>
        <v>ENSG00000136100</v>
      </c>
      <c r="M752" s="12" t="s">
        <v>15790</v>
      </c>
      <c r="N752" s="12" t="s">
        <v>15791</v>
      </c>
    </row>
    <row r="753" spans="1:14">
      <c r="A753" s="12" t="s">
        <v>10740</v>
      </c>
      <c r="B753" s="8">
        <v>1121.4907818443501</v>
      </c>
      <c r="C753" s="12">
        <v>440.39163151161898</v>
      </c>
      <c r="D753" s="8">
        <v>1.3485588025226001</v>
      </c>
      <c r="E753" s="12">
        <v>3.9802125413357196E-3</v>
      </c>
      <c r="F753" s="8" t="s">
        <v>5437</v>
      </c>
      <c r="G753" s="12" t="s">
        <v>13752</v>
      </c>
      <c r="H753" s="12">
        <v>1</v>
      </c>
      <c r="I753" s="13" t="str">
        <f>HYPERLINK("http://www.ncbi.nlm.nih.gov/gene/54468", "54468")</f>
        <v>54468</v>
      </c>
      <c r="J753" s="13" t="str">
        <f>HYPERLINK("http://www.ncbi.nlm.nih.gov/nuccore/NM_019005", "NM_019005")</f>
        <v>NM_019005</v>
      </c>
      <c r="K753" s="12" t="s">
        <v>5438</v>
      </c>
      <c r="L753" s="13" t="str">
        <f>HYPERLINK("http://asia.ensembl.org/Homo_sapiens/Gene/Summary?g=ENSG00000164654", "ENSG00000164654")</f>
        <v>ENSG00000164654</v>
      </c>
      <c r="M753" s="12" t="s">
        <v>13753</v>
      </c>
      <c r="N753" s="12" t="s">
        <v>13754</v>
      </c>
    </row>
    <row r="754" spans="1:14">
      <c r="A754" s="12" t="s">
        <v>6213</v>
      </c>
      <c r="B754" s="8">
        <v>394.58753436012603</v>
      </c>
      <c r="C754" s="12">
        <v>154.98047811219399</v>
      </c>
      <c r="D754" s="8">
        <v>1.34825887979267</v>
      </c>
      <c r="E754" s="12">
        <v>1.21277958282471E-2</v>
      </c>
      <c r="F754" s="8" t="s">
        <v>6214</v>
      </c>
      <c r="G754" s="12" t="s">
        <v>6215</v>
      </c>
      <c r="H754" s="12">
        <v>1</v>
      </c>
      <c r="I754" s="13" t="str">
        <f>HYPERLINK("http://www.ncbi.nlm.nih.gov/gene/55892", "55892")</f>
        <v>55892</v>
      </c>
      <c r="J754" s="12" t="s">
        <v>14092</v>
      </c>
      <c r="K754" s="12" t="s">
        <v>14093</v>
      </c>
      <c r="L754" s="13" t="str">
        <f>HYPERLINK("http://asia.ensembl.org/Homo_sapiens/Gene/Summary?g=ENSG00000085274", "ENSG00000085274")</f>
        <v>ENSG00000085274</v>
      </c>
      <c r="M754" s="12" t="s">
        <v>14094</v>
      </c>
      <c r="N754" s="12" t="s">
        <v>14095</v>
      </c>
    </row>
    <row r="755" spans="1:14">
      <c r="A755" s="12" t="s">
        <v>946</v>
      </c>
      <c r="B755" s="8">
        <v>15883.5342846199</v>
      </c>
      <c r="C755" s="12">
        <v>6238.53487085509</v>
      </c>
      <c r="D755" s="8">
        <v>1.3482528109391301</v>
      </c>
      <c r="E755" s="12">
        <v>1.63463167313479E-3</v>
      </c>
      <c r="F755" s="8" t="s">
        <v>947</v>
      </c>
      <c r="G755" s="12" t="s">
        <v>948</v>
      </c>
      <c r="H755" s="12">
        <v>1</v>
      </c>
      <c r="I755" s="13" t="str">
        <f>HYPERLINK("http://www.ncbi.nlm.nih.gov/gene/25926", "25926")</f>
        <v>25926</v>
      </c>
      <c r="J755" s="13" t="str">
        <f>HYPERLINK("http://www.ncbi.nlm.nih.gov/nuccore/NM_015462", "NM_015462")</f>
        <v>NM_015462</v>
      </c>
      <c r="K755" s="12" t="s">
        <v>949</v>
      </c>
      <c r="L755" s="13" t="str">
        <f>HYPERLINK("http://asia.ensembl.org/Homo_sapiens/Gene/Summary?g=ENSG00000130935", "ENSG00000130935")</f>
        <v>ENSG00000130935</v>
      </c>
      <c r="M755" s="12" t="s">
        <v>12170</v>
      </c>
      <c r="N755" s="12" t="s">
        <v>12171</v>
      </c>
    </row>
    <row r="756" spans="1:14">
      <c r="A756" s="12" t="s">
        <v>10051</v>
      </c>
      <c r="B756" s="8">
        <v>1835.9465684111001</v>
      </c>
      <c r="C756" s="12">
        <v>721.16254209878798</v>
      </c>
      <c r="D756" s="8">
        <v>1.3481277037701</v>
      </c>
      <c r="E756" s="12">
        <v>7.1211511812678896E-3</v>
      </c>
      <c r="F756" s="8" t="s">
        <v>10052</v>
      </c>
      <c r="G756" s="12" t="s">
        <v>10053</v>
      </c>
      <c r="H756" s="12">
        <v>1</v>
      </c>
      <c r="I756" s="13" t="str">
        <f>HYPERLINK("http://www.ncbi.nlm.nih.gov/gene/100190939", "100190939")</f>
        <v>100190939</v>
      </c>
      <c r="J756" s="13" t="str">
        <f>HYPERLINK("http://www.ncbi.nlm.nih.gov/nuccore/NR_024458", "NR_024458")</f>
        <v>NR_024458</v>
      </c>
      <c r="K756" s="12" t="s">
        <v>199</v>
      </c>
      <c r="L756" s="12" t="s">
        <v>38</v>
      </c>
      <c r="M756" s="12" t="s">
        <v>38</v>
      </c>
      <c r="N756" s="12" t="s">
        <v>38</v>
      </c>
    </row>
    <row r="757" spans="1:14">
      <c r="A757" s="12" t="s">
        <v>4844</v>
      </c>
      <c r="B757" s="8">
        <v>383.079745702823</v>
      </c>
      <c r="C757" s="12">
        <v>150.51225828823701</v>
      </c>
      <c r="D757" s="8">
        <v>1.34776375889415</v>
      </c>
      <c r="E757" s="12">
        <v>9.1581455716181794E-3</v>
      </c>
      <c r="F757" s="8" t="s">
        <v>4845</v>
      </c>
      <c r="G757" s="12" t="s">
        <v>4846</v>
      </c>
      <c r="H757" s="12">
        <v>1</v>
      </c>
      <c r="I757" s="13" t="str">
        <f>HYPERLINK("http://www.ncbi.nlm.nih.gov/gene/80821", "80821")</f>
        <v>80821</v>
      </c>
      <c r="J757" s="12" t="s">
        <v>13421</v>
      </c>
      <c r="K757" s="12" t="s">
        <v>13422</v>
      </c>
      <c r="L757" s="13" t="str">
        <f>HYPERLINK("http://asia.ensembl.org/Homo_sapiens/Gene/Summary?g=ENSG00000100523", "ENSG00000100523")</f>
        <v>ENSG00000100523</v>
      </c>
      <c r="M757" s="12" t="s">
        <v>13423</v>
      </c>
      <c r="N757" s="12" t="s">
        <v>13424</v>
      </c>
    </row>
    <row r="758" spans="1:14">
      <c r="A758" s="12" t="s">
        <v>6302</v>
      </c>
      <c r="B758" s="8">
        <v>270.22409446856102</v>
      </c>
      <c r="C758" s="12">
        <v>106.32816489819901</v>
      </c>
      <c r="D758" s="8">
        <v>1.3456325199983801</v>
      </c>
      <c r="E758" s="12">
        <v>4.3289759096095696E-3</v>
      </c>
      <c r="F758" s="8" t="s">
        <v>6303</v>
      </c>
      <c r="G758" s="12" t="s">
        <v>14138</v>
      </c>
      <c r="H758" s="12">
        <v>1</v>
      </c>
      <c r="I758" s="13" t="str">
        <f>HYPERLINK("http://www.ncbi.nlm.nih.gov/gene/3624", "3624")</f>
        <v>3624</v>
      </c>
      <c r="J758" s="13" t="str">
        <f>HYPERLINK("http://www.ncbi.nlm.nih.gov/nuccore/NM_002192", "NM_002192")</f>
        <v>NM_002192</v>
      </c>
      <c r="K758" s="12" t="s">
        <v>6304</v>
      </c>
      <c r="L758" s="13" t="str">
        <f>HYPERLINK("http://asia.ensembl.org/Homo_sapiens/Gene/Summary?g=ENSG00000122641", "ENSG00000122641")</f>
        <v>ENSG00000122641</v>
      </c>
      <c r="M758" s="12" t="s">
        <v>14139</v>
      </c>
      <c r="N758" s="12" t="s">
        <v>14140</v>
      </c>
    </row>
    <row r="759" spans="1:14">
      <c r="A759" s="12" t="s">
        <v>10570</v>
      </c>
      <c r="B759" s="8">
        <v>127.02531393939201</v>
      </c>
      <c r="C759" s="12">
        <v>49.999999999999901</v>
      </c>
      <c r="D759" s="8">
        <v>1.34511602971912</v>
      </c>
      <c r="E759" s="12">
        <v>8.7740036966874198E-4</v>
      </c>
      <c r="F759" s="8" t="s">
        <v>2790</v>
      </c>
      <c r="G759" s="12" t="s">
        <v>2791</v>
      </c>
      <c r="H759" s="12">
        <v>1</v>
      </c>
      <c r="I759" s="13" t="str">
        <f>HYPERLINK("http://www.ncbi.nlm.nih.gov/gene/92421", "92421")</f>
        <v>92421</v>
      </c>
      <c r="J759" s="13" t="str">
        <f>HYPERLINK("http://www.ncbi.nlm.nih.gov/nuccore/NM_152284", "NM_152284")</f>
        <v>NM_152284</v>
      </c>
      <c r="K759" s="12" t="s">
        <v>2792</v>
      </c>
      <c r="L759" s="13" t="str">
        <f>HYPERLINK("http://asia.ensembl.org/Homo_sapiens/Gene/Summary?g=ENSG00000164695", "ENSG00000164695")</f>
        <v>ENSG00000164695</v>
      </c>
      <c r="M759" s="12" t="s">
        <v>2793</v>
      </c>
      <c r="N759" s="12" t="s">
        <v>2794</v>
      </c>
    </row>
    <row r="760" spans="1:14">
      <c r="A760" s="12" t="s">
        <v>2993</v>
      </c>
      <c r="B760" s="8">
        <v>5788.5428703021998</v>
      </c>
      <c r="C760" s="12">
        <v>2278.6497536052598</v>
      </c>
      <c r="D760" s="8">
        <v>1.34502104126182</v>
      </c>
      <c r="E760" s="12">
        <v>5.1513741703092704E-3</v>
      </c>
      <c r="F760" s="8" t="s">
        <v>2994</v>
      </c>
      <c r="G760" s="12" t="s">
        <v>2995</v>
      </c>
      <c r="H760" s="12">
        <v>1</v>
      </c>
      <c r="I760" s="13" t="str">
        <f>HYPERLINK("http://www.ncbi.nlm.nih.gov/gene/65981", "65981")</f>
        <v>65981</v>
      </c>
      <c r="J760" s="12" t="s">
        <v>12853</v>
      </c>
      <c r="K760" s="12" t="s">
        <v>12854</v>
      </c>
      <c r="L760" s="13" t="str">
        <f>HYPERLINK("http://asia.ensembl.org/Homo_sapiens/Gene/Summary?g=ENSG00000110888", "ENSG00000110888")</f>
        <v>ENSG00000110888</v>
      </c>
      <c r="M760" s="12" t="s">
        <v>12855</v>
      </c>
      <c r="N760" s="12" t="s">
        <v>12856</v>
      </c>
    </row>
    <row r="761" spans="1:14">
      <c r="A761" s="12" t="s">
        <v>7454</v>
      </c>
      <c r="B761" s="8">
        <v>659.40756346569401</v>
      </c>
      <c r="C761" s="12">
        <v>259.601365401029</v>
      </c>
      <c r="D761" s="8">
        <v>1.3448724635834299</v>
      </c>
      <c r="E761" s="12">
        <v>4.6879840764167896E-3</v>
      </c>
      <c r="F761" s="8" t="s">
        <v>7455</v>
      </c>
      <c r="G761" s="12" t="s">
        <v>7456</v>
      </c>
      <c r="H761" s="12">
        <v>1</v>
      </c>
      <c r="I761" s="13" t="str">
        <f>HYPERLINK("http://www.ncbi.nlm.nih.gov/gene/22878", "22878")</f>
        <v>22878</v>
      </c>
      <c r="J761" s="13" t="str">
        <f>HYPERLINK("http://www.ncbi.nlm.nih.gov/nuccore/NM_014939", "NM_014939")</f>
        <v>NM_014939</v>
      </c>
      <c r="K761" s="12" t="s">
        <v>7457</v>
      </c>
      <c r="L761" s="13" t="str">
        <f>HYPERLINK("http://asia.ensembl.org/Homo_sapiens/Gene/Summary?g=ENSG00000153339", "ENSG00000153339")</f>
        <v>ENSG00000153339</v>
      </c>
      <c r="M761" s="12" t="s">
        <v>14429</v>
      </c>
      <c r="N761" s="12" t="s">
        <v>14430</v>
      </c>
    </row>
    <row r="762" spans="1:14">
      <c r="A762" s="12" t="s">
        <v>4018</v>
      </c>
      <c r="B762" s="8">
        <v>14888.924678782199</v>
      </c>
      <c r="C762" s="12">
        <v>5861.8117059242004</v>
      </c>
      <c r="D762" s="8">
        <v>1.34482103067458</v>
      </c>
      <c r="E762" s="12">
        <v>3.0358707960964101E-3</v>
      </c>
      <c r="F762" s="8" t="s">
        <v>4019</v>
      </c>
      <c r="G762" s="12" t="s">
        <v>13151</v>
      </c>
      <c r="H762" s="12">
        <v>1</v>
      </c>
      <c r="I762" s="13" t="str">
        <f>HYPERLINK("http://www.ncbi.nlm.nih.gov/gene/10079", "10079")</f>
        <v>10079</v>
      </c>
      <c r="J762" s="13" t="str">
        <f>HYPERLINK("http://www.ncbi.nlm.nih.gov/nuccore/NM_006045", "NM_006045")</f>
        <v>NM_006045</v>
      </c>
      <c r="K762" s="12" t="s">
        <v>4020</v>
      </c>
      <c r="L762" s="13" t="str">
        <f>HYPERLINK("http://asia.ensembl.org/Homo_sapiens/Gene/Summary?g=ENSG00000054793", "ENSG00000054793")</f>
        <v>ENSG00000054793</v>
      </c>
      <c r="M762" s="12" t="s">
        <v>13152</v>
      </c>
      <c r="N762" s="12" t="s">
        <v>13153</v>
      </c>
    </row>
    <row r="763" spans="1:14">
      <c r="A763" s="12" t="s">
        <v>10701</v>
      </c>
      <c r="B763" s="8">
        <v>241.033862985724</v>
      </c>
      <c r="C763" s="12">
        <v>94.901098971961702</v>
      </c>
      <c r="D763" s="8">
        <v>1.34473914662206</v>
      </c>
      <c r="E763" s="12">
        <v>1.4775170363700799E-3</v>
      </c>
      <c r="F763" s="8" t="s">
        <v>5904</v>
      </c>
      <c r="G763" s="12" t="s">
        <v>5905</v>
      </c>
      <c r="H763" s="12">
        <v>1</v>
      </c>
      <c r="I763" s="13" t="str">
        <f>HYPERLINK("http://www.ncbi.nlm.nih.gov/gene/10207", "10207")</f>
        <v>10207</v>
      </c>
      <c r="J763" s="13" t="str">
        <f>HYPERLINK("http://www.ncbi.nlm.nih.gov/nuccore/NM_176877", "NM_176877")</f>
        <v>NM_176877</v>
      </c>
      <c r="K763" s="12" t="s">
        <v>5906</v>
      </c>
      <c r="L763" s="13" t="str">
        <f>HYPERLINK("http://asia.ensembl.org/Homo_sapiens/Gene/Summary?g=ENSG00000132849", "ENSG00000132849")</f>
        <v>ENSG00000132849</v>
      </c>
      <c r="M763" s="12" t="s">
        <v>13960</v>
      </c>
      <c r="N763" s="12" t="s">
        <v>13961</v>
      </c>
    </row>
    <row r="764" spans="1:14">
      <c r="A764" s="12" t="s">
        <v>3018</v>
      </c>
      <c r="B764" s="8">
        <v>523.192414421124</v>
      </c>
      <c r="C764" s="12">
        <v>206.09739761377801</v>
      </c>
      <c r="D764" s="8">
        <v>1.3440153357492499</v>
      </c>
      <c r="E764" s="12">
        <v>1.16521471346185E-2</v>
      </c>
      <c r="F764" s="8" t="s">
        <v>3019</v>
      </c>
      <c r="G764" s="12" t="s">
        <v>12869</v>
      </c>
      <c r="H764" s="12">
        <v>1</v>
      </c>
      <c r="I764" s="13" t="str">
        <f>HYPERLINK("http://www.ncbi.nlm.nih.gov/gene/285440", "285440")</f>
        <v>285440</v>
      </c>
      <c r="J764" s="13" t="str">
        <f>HYPERLINK("http://www.ncbi.nlm.nih.gov/nuccore/NM_207352", "NM_207352")</f>
        <v>NM_207352</v>
      </c>
      <c r="K764" s="12" t="s">
        <v>3020</v>
      </c>
      <c r="L764" s="13" t="str">
        <f>HYPERLINK("http://asia.ensembl.org/Homo_sapiens/Gene/Summary?g=ENSG00000145476", "ENSG00000145476")</f>
        <v>ENSG00000145476</v>
      </c>
      <c r="M764" s="12" t="s">
        <v>12870</v>
      </c>
      <c r="N764" s="12" t="s">
        <v>3021</v>
      </c>
    </row>
    <row r="765" spans="1:14">
      <c r="A765" s="12" t="s">
        <v>2493</v>
      </c>
      <c r="B765" s="8">
        <v>8728.1692875035296</v>
      </c>
      <c r="C765" s="12">
        <v>3438.9712001022699</v>
      </c>
      <c r="D765" s="8">
        <v>1.3437020498057399</v>
      </c>
      <c r="E765" s="12">
        <v>3.1802059730111302E-3</v>
      </c>
      <c r="F765" s="8" t="s">
        <v>2494</v>
      </c>
      <c r="G765" s="12" t="s">
        <v>12670</v>
      </c>
      <c r="H765" s="12">
        <v>1</v>
      </c>
      <c r="I765" s="13" t="str">
        <f>HYPERLINK("http://www.ncbi.nlm.nih.gov/gene/4780", "4780")</f>
        <v>4780</v>
      </c>
      <c r="J765" s="12" t="s">
        <v>12671</v>
      </c>
      <c r="K765" s="12" t="s">
        <v>12672</v>
      </c>
      <c r="L765" s="13" t="str">
        <f>HYPERLINK("http://asia.ensembl.org/Homo_sapiens/Gene/Summary?g=ENSG00000116044", "ENSG00000116044")</f>
        <v>ENSG00000116044</v>
      </c>
      <c r="M765" s="12" t="s">
        <v>12673</v>
      </c>
      <c r="N765" s="12" t="s">
        <v>12674</v>
      </c>
    </row>
    <row r="766" spans="1:14">
      <c r="A766" s="12" t="s">
        <v>7447</v>
      </c>
      <c r="B766" s="8">
        <v>5117.8395718793499</v>
      </c>
      <c r="C766" s="12">
        <v>2016.5296114750199</v>
      </c>
      <c r="D766" s="8">
        <v>1.34366033317631</v>
      </c>
      <c r="E766" s="12">
        <v>1.78938521328405E-3</v>
      </c>
      <c r="F766" s="8" t="s">
        <v>1129</v>
      </c>
      <c r="G766" s="12" t="s">
        <v>1130</v>
      </c>
      <c r="H766" s="12">
        <v>1</v>
      </c>
      <c r="I766" s="13" t="str">
        <f>HYPERLINK("http://www.ncbi.nlm.nih.gov/gene/10808", "10808")</f>
        <v>10808</v>
      </c>
      <c r="J766" s="13" t="str">
        <f>HYPERLINK("http://www.ncbi.nlm.nih.gov/nuccore/NM_006644", "NM_006644")</f>
        <v>NM_006644</v>
      </c>
      <c r="K766" s="12" t="s">
        <v>1131</v>
      </c>
      <c r="L766" s="13" t="str">
        <f>HYPERLINK("http://asia.ensembl.org/Homo_sapiens/Gene/Summary?g=ENSG00000120694", "ENSG00000120694")</f>
        <v>ENSG00000120694</v>
      </c>
      <c r="M766" s="12" t="s">
        <v>12242</v>
      </c>
      <c r="N766" s="12" t="s">
        <v>12243</v>
      </c>
    </row>
    <row r="767" spans="1:14">
      <c r="A767" s="12" t="s">
        <v>10584</v>
      </c>
      <c r="B767" s="8">
        <v>1360.2915725852399</v>
      </c>
      <c r="C767" s="12">
        <v>536.00596506527597</v>
      </c>
      <c r="D767" s="8">
        <v>1.3435949587848699</v>
      </c>
      <c r="E767" s="12">
        <v>1.9892548728257498E-3</v>
      </c>
      <c r="F767" s="8" t="s">
        <v>3846</v>
      </c>
      <c r="G767" s="12" t="s">
        <v>15600</v>
      </c>
      <c r="H767" s="12">
        <v>1</v>
      </c>
      <c r="I767" s="13" t="str">
        <f>HYPERLINK("http://www.ncbi.nlm.nih.gov/gene/29094", "29094")</f>
        <v>29094</v>
      </c>
      <c r="J767" s="13" t="str">
        <f>HYPERLINK("http://www.ncbi.nlm.nih.gov/nuccore/NM_014181", "NM_014181")</f>
        <v>NM_014181</v>
      </c>
      <c r="K767" s="12" t="s">
        <v>3847</v>
      </c>
      <c r="L767" s="13" t="str">
        <f>HYPERLINK("http://asia.ensembl.org/Homo_sapiens/Gene/Summary?g=ENSG00000119862", "ENSG00000119862")</f>
        <v>ENSG00000119862</v>
      </c>
      <c r="M767" s="12" t="s">
        <v>15601</v>
      </c>
      <c r="N767" s="12" t="s">
        <v>15602</v>
      </c>
    </row>
    <row r="768" spans="1:14">
      <c r="A768" s="12" t="s">
        <v>2263</v>
      </c>
      <c r="B768" s="8">
        <v>6459.9488227359798</v>
      </c>
      <c r="C768" s="12">
        <v>2546.0188971337998</v>
      </c>
      <c r="D768" s="8">
        <v>1.3432796082971901</v>
      </c>
      <c r="E768" s="12">
        <v>1.0665520545976601E-3</v>
      </c>
      <c r="F768" s="8" t="s">
        <v>2264</v>
      </c>
      <c r="G768" s="12" t="s">
        <v>2265</v>
      </c>
      <c r="H768" s="12">
        <v>1</v>
      </c>
      <c r="I768" s="13" t="str">
        <f>HYPERLINK("http://www.ncbi.nlm.nih.gov/gene/57157", "57157")</f>
        <v>57157</v>
      </c>
      <c r="J768" s="12" t="s">
        <v>12587</v>
      </c>
      <c r="K768" s="12" t="s">
        <v>12588</v>
      </c>
      <c r="L768" s="13" t="str">
        <f>HYPERLINK("http://asia.ensembl.org/Homo_sapiens/Gene/Summary?g=ENSG00000006576", "ENSG00000006576")</f>
        <v>ENSG00000006576</v>
      </c>
      <c r="M768" s="12" t="s">
        <v>12589</v>
      </c>
      <c r="N768" s="12" t="s">
        <v>12590</v>
      </c>
    </row>
    <row r="769" spans="1:14">
      <c r="A769" s="12" t="s">
        <v>6672</v>
      </c>
      <c r="B769" s="8">
        <v>2332.7899937387401</v>
      </c>
      <c r="C769" s="12">
        <v>919.87657615146395</v>
      </c>
      <c r="D769" s="8">
        <v>1.34254422991242</v>
      </c>
      <c r="E769" s="12">
        <v>8.0359865640317599E-5</v>
      </c>
      <c r="F769" s="8" t="s">
        <v>6673</v>
      </c>
      <c r="G769" s="12" t="s">
        <v>6674</v>
      </c>
      <c r="H769" s="12">
        <v>1</v>
      </c>
      <c r="I769" s="13" t="str">
        <f>HYPERLINK("http://www.ncbi.nlm.nih.gov/gene/51449", "51449")</f>
        <v>51449</v>
      </c>
      <c r="J769" s="13" t="str">
        <f>HYPERLINK("http://www.ncbi.nlm.nih.gov/nuccore/NM_016297", "NM_016297")</f>
        <v>NM_016297</v>
      </c>
      <c r="K769" s="12" t="s">
        <v>6675</v>
      </c>
      <c r="L769" s="13" t="str">
        <f>HYPERLINK("http://asia.ensembl.org/Homo_sapiens/Gene/Summary?g=ENSG00000116005", "ENSG00000116005")</f>
        <v>ENSG00000116005</v>
      </c>
      <c r="M769" s="12" t="s">
        <v>14234</v>
      </c>
      <c r="N769" s="12" t="s">
        <v>14235</v>
      </c>
    </row>
    <row r="770" spans="1:14">
      <c r="A770" s="12" t="s">
        <v>1873</v>
      </c>
      <c r="B770" s="8">
        <v>14708.786544266</v>
      </c>
      <c r="C770" s="12">
        <v>5801.62421150522</v>
      </c>
      <c r="D770" s="8">
        <v>1.3421494750236</v>
      </c>
      <c r="E770" s="12">
        <v>5.44405957712481E-3</v>
      </c>
      <c r="F770" s="8" t="s">
        <v>1874</v>
      </c>
      <c r="G770" s="12" t="s">
        <v>12456</v>
      </c>
      <c r="H770" s="12">
        <v>1</v>
      </c>
      <c r="I770" s="13" t="str">
        <f>HYPERLINK("http://www.ncbi.nlm.nih.gov/gene/51715", "51715")</f>
        <v>51715</v>
      </c>
      <c r="J770" s="12" t="s">
        <v>12457</v>
      </c>
      <c r="K770" s="12" t="s">
        <v>12458</v>
      </c>
      <c r="L770" s="13" t="str">
        <f>HYPERLINK("http://asia.ensembl.org/Homo_sapiens/Gene/Summary?g=ENSG00000112210", "ENSG00000112210")</f>
        <v>ENSG00000112210</v>
      </c>
      <c r="M770" s="12" t="s">
        <v>12459</v>
      </c>
      <c r="N770" s="12" t="s">
        <v>12460</v>
      </c>
    </row>
    <row r="771" spans="1:14">
      <c r="A771" s="12" t="s">
        <v>10133</v>
      </c>
      <c r="B771" s="8">
        <v>376.11801022012401</v>
      </c>
      <c r="C771" s="12">
        <v>148.375203414217</v>
      </c>
      <c r="D771" s="8">
        <v>1.34193538302862</v>
      </c>
      <c r="E771" s="12">
        <v>2.1715039010782099E-2</v>
      </c>
      <c r="F771" s="8" t="s">
        <v>10134</v>
      </c>
      <c r="G771" s="12" t="s">
        <v>15302</v>
      </c>
      <c r="H771" s="12">
        <v>1</v>
      </c>
      <c r="I771" s="13" t="str">
        <f>HYPERLINK("http://www.ncbi.nlm.nih.gov/gene/646938", "646938")</f>
        <v>646938</v>
      </c>
      <c r="J771" s="13" t="str">
        <f>HYPERLINK("http://www.ncbi.nlm.nih.gov/nuccore/NR_036495", "NR_036495")</f>
        <v>NR_036495</v>
      </c>
      <c r="K771" s="12" t="s">
        <v>199</v>
      </c>
      <c r="L771" s="12" t="s">
        <v>38</v>
      </c>
      <c r="M771" s="12" t="s">
        <v>38</v>
      </c>
      <c r="N771" s="12" t="s">
        <v>38</v>
      </c>
    </row>
    <row r="772" spans="1:14">
      <c r="A772" s="12" t="s">
        <v>11207</v>
      </c>
      <c r="B772" s="8">
        <v>1115.1761759368401</v>
      </c>
      <c r="C772" s="12">
        <v>440.17133224889398</v>
      </c>
      <c r="D772" s="8">
        <v>1.34113455297095</v>
      </c>
      <c r="E772" s="12">
        <v>3.0152032830430301E-3</v>
      </c>
      <c r="F772" s="8" t="s">
        <v>38</v>
      </c>
      <c r="G772" s="12" t="s">
        <v>38</v>
      </c>
      <c r="H772" s="12">
        <v>1</v>
      </c>
      <c r="I772" s="12" t="s">
        <v>38</v>
      </c>
      <c r="J772" s="12" t="s">
        <v>38</v>
      </c>
      <c r="K772" s="12" t="s">
        <v>38</v>
      </c>
      <c r="L772" s="13" t="str">
        <f>HYPERLINK("http://asia.ensembl.org/Homo_sapiens/Gene/Summary?g=ENSG00000124596", "ENSG00000124596")</f>
        <v>ENSG00000124596</v>
      </c>
      <c r="M772" s="12" t="s">
        <v>11208</v>
      </c>
      <c r="N772" s="12" t="s">
        <v>16032</v>
      </c>
    </row>
    <row r="773" spans="1:14">
      <c r="A773" s="12" t="s">
        <v>2140</v>
      </c>
      <c r="B773" s="8">
        <v>145.53627268513401</v>
      </c>
      <c r="C773" s="12">
        <v>57.453283411850002</v>
      </c>
      <c r="D773" s="8">
        <v>1.34091751829998</v>
      </c>
      <c r="E773" s="12">
        <v>9.0153208682449207E-3</v>
      </c>
      <c r="F773" s="8" t="s">
        <v>2141</v>
      </c>
      <c r="G773" s="12" t="s">
        <v>2142</v>
      </c>
      <c r="H773" s="12">
        <v>1</v>
      </c>
      <c r="I773" s="13" t="str">
        <f>HYPERLINK("http://www.ncbi.nlm.nih.gov/gene/246213", "246213")</f>
        <v>246213</v>
      </c>
      <c r="J773" s="12" t="s">
        <v>12556</v>
      </c>
      <c r="K773" s="12" t="s">
        <v>12557</v>
      </c>
      <c r="L773" s="13" t="str">
        <f>HYPERLINK("http://asia.ensembl.org/Homo_sapiens/Gene/Summary?g=ENSG00000179520", "ENSG00000179520")</f>
        <v>ENSG00000179520</v>
      </c>
      <c r="M773" s="12" t="s">
        <v>12558</v>
      </c>
      <c r="N773" s="12" t="s">
        <v>12559</v>
      </c>
    </row>
    <row r="774" spans="1:14">
      <c r="A774" s="12" t="s">
        <v>5450</v>
      </c>
      <c r="B774" s="8">
        <v>2087.3732152086</v>
      </c>
      <c r="C774" s="12">
        <v>824.42976440754899</v>
      </c>
      <c r="D774" s="8">
        <v>1.3402200759277201</v>
      </c>
      <c r="E774" s="12">
        <v>1.3706492251043801E-3</v>
      </c>
      <c r="F774" s="8" t="s">
        <v>5451</v>
      </c>
      <c r="G774" s="12" t="s">
        <v>13762</v>
      </c>
      <c r="H774" s="12">
        <v>1</v>
      </c>
      <c r="I774" s="13" t="str">
        <f>HYPERLINK("http://www.ncbi.nlm.nih.gov/gene/55720", "55720")</f>
        <v>55720</v>
      </c>
      <c r="J774" s="13" t="str">
        <f>HYPERLINK("http://www.ncbi.nlm.nih.gov/nuccore/NM_018128", "NM_018128")</f>
        <v>NM_018128</v>
      </c>
      <c r="K774" s="12" t="s">
        <v>5452</v>
      </c>
      <c r="L774" s="13" t="str">
        <f>HYPERLINK("http://asia.ensembl.org/Homo_sapiens/Gene/Summary?g=ENSG00000167721", "ENSG00000167721")</f>
        <v>ENSG00000167721</v>
      </c>
      <c r="M774" s="12" t="s">
        <v>13763</v>
      </c>
      <c r="N774" s="12" t="s">
        <v>13764</v>
      </c>
    </row>
    <row r="775" spans="1:14">
      <c r="A775" s="12" t="s">
        <v>8777</v>
      </c>
      <c r="B775" s="8">
        <v>3916.8641260068198</v>
      </c>
      <c r="C775" s="12">
        <v>1547.61812520936</v>
      </c>
      <c r="D775" s="8">
        <v>1.33964955243456</v>
      </c>
      <c r="E775" s="12">
        <v>1.4006060380518501E-3</v>
      </c>
      <c r="F775" s="8" t="s">
        <v>8778</v>
      </c>
      <c r="G775" s="12" t="s">
        <v>8779</v>
      </c>
      <c r="H775" s="12">
        <v>4</v>
      </c>
      <c r="I775" s="12" t="s">
        <v>8780</v>
      </c>
      <c r="J775" s="12" t="s">
        <v>8781</v>
      </c>
      <c r="K775" s="12" t="s">
        <v>8713</v>
      </c>
    </row>
    <row r="776" spans="1:14">
      <c r="A776" s="12" t="s">
        <v>10516</v>
      </c>
      <c r="B776" s="8">
        <v>1536.0354096978001</v>
      </c>
      <c r="C776" s="12">
        <v>607.21175854029605</v>
      </c>
      <c r="D776" s="8">
        <v>1.3389398407449</v>
      </c>
      <c r="E776" s="12">
        <v>1.78919989414237E-3</v>
      </c>
      <c r="F776" s="8" t="s">
        <v>6809</v>
      </c>
      <c r="G776" s="12" t="s">
        <v>6810</v>
      </c>
      <c r="H776" s="12">
        <v>1</v>
      </c>
      <c r="I776" s="13" t="str">
        <f>HYPERLINK("http://www.ncbi.nlm.nih.gov/gene/6744", "6744")</f>
        <v>6744</v>
      </c>
      <c r="J776" s="12" t="s">
        <v>15510</v>
      </c>
      <c r="K776" s="12" t="s">
        <v>15511</v>
      </c>
      <c r="L776" s="13" t="str">
        <f>HYPERLINK("http://asia.ensembl.org/Homo_sapiens/Gene/Summary?g=ENSG00000138434", "ENSG00000138434")</f>
        <v>ENSG00000138434</v>
      </c>
      <c r="M776" s="12" t="s">
        <v>15512</v>
      </c>
      <c r="N776" s="12" t="s">
        <v>15513</v>
      </c>
    </row>
    <row r="777" spans="1:14">
      <c r="A777" s="12" t="s">
        <v>8136</v>
      </c>
      <c r="B777" s="8">
        <v>147.16730588680099</v>
      </c>
      <c r="C777" s="12">
        <v>58.192344713519297</v>
      </c>
      <c r="D777" s="8">
        <v>1.33855592137672</v>
      </c>
      <c r="E777" s="12">
        <v>1.1217470607599001E-2</v>
      </c>
      <c r="F777" s="8" t="s">
        <v>8137</v>
      </c>
      <c r="G777" s="12" t="s">
        <v>8138</v>
      </c>
      <c r="H777" s="12">
        <v>1</v>
      </c>
      <c r="I777" s="13" t="str">
        <f>HYPERLINK("http://www.ncbi.nlm.nih.gov/gene/114793", "114793")</f>
        <v>114793</v>
      </c>
      <c r="J777" s="13" t="str">
        <f>HYPERLINK("http://www.ncbi.nlm.nih.gov/nuccore/NM_052905", "NM_052905")</f>
        <v>NM_052905</v>
      </c>
      <c r="K777" s="12" t="s">
        <v>8139</v>
      </c>
      <c r="L777" s="13" t="str">
        <f>HYPERLINK("http://asia.ensembl.org/Homo_sapiens/Gene/Summary?g=ENSG00000157827", "ENSG00000157827")</f>
        <v>ENSG00000157827</v>
      </c>
      <c r="M777" s="12" t="s">
        <v>14688</v>
      </c>
      <c r="N777" s="12" t="s">
        <v>14689</v>
      </c>
    </row>
    <row r="778" spans="1:14">
      <c r="A778" s="12" t="s">
        <v>9595</v>
      </c>
      <c r="B778" s="8">
        <v>12120.393563989401</v>
      </c>
      <c r="C778" s="12">
        <v>4794.7204361352597</v>
      </c>
      <c r="D778" s="8">
        <v>1.33791794148217</v>
      </c>
      <c r="E778" s="12">
        <v>5.8858162997395703E-3</v>
      </c>
      <c r="F778" s="8" t="s">
        <v>8974</v>
      </c>
      <c r="G778" s="12" t="s">
        <v>8975</v>
      </c>
      <c r="H778" s="12">
        <v>1</v>
      </c>
      <c r="I778" s="13" t="str">
        <f>HYPERLINK("http://www.ncbi.nlm.nih.gov/gene/9782", "9782")</f>
        <v>9782</v>
      </c>
      <c r="J778" s="12" t="s">
        <v>15088</v>
      </c>
      <c r="K778" s="12" t="s">
        <v>15089</v>
      </c>
      <c r="L778" s="13" t="str">
        <f>HYPERLINK("http://asia.ensembl.org/Homo_sapiens/Gene/Summary?g=ENSG00000015479", "ENSG00000015479")</f>
        <v>ENSG00000015479</v>
      </c>
      <c r="M778" s="12" t="s">
        <v>15090</v>
      </c>
      <c r="N778" s="12" t="s">
        <v>15091</v>
      </c>
    </row>
    <row r="779" spans="1:14">
      <c r="A779" s="12" t="s">
        <v>1886</v>
      </c>
      <c r="B779" s="8">
        <v>1051.1770156733801</v>
      </c>
      <c r="C779" s="12">
        <v>416.01665273267901</v>
      </c>
      <c r="D779" s="8">
        <v>1.33729245184054</v>
      </c>
      <c r="E779" s="12">
        <v>1.6998509618717599E-3</v>
      </c>
      <c r="F779" s="8" t="s">
        <v>1887</v>
      </c>
      <c r="G779" s="12" t="s">
        <v>12467</v>
      </c>
      <c r="H779" s="12">
        <v>1</v>
      </c>
      <c r="I779" s="13" t="str">
        <f>HYPERLINK("http://www.ncbi.nlm.nih.gov/gene/93594", "93594")</f>
        <v>93594</v>
      </c>
      <c r="J779" s="12" t="s">
        <v>12468</v>
      </c>
      <c r="K779" s="12" t="s">
        <v>12469</v>
      </c>
      <c r="L779" s="13" t="str">
        <f>HYPERLINK("http://asia.ensembl.org/Homo_sapiens/Gene/Summary?g=ENSG00000156787", "ENSG00000156787")</f>
        <v>ENSG00000156787</v>
      </c>
      <c r="M779" s="12" t="s">
        <v>12470</v>
      </c>
      <c r="N779" s="12" t="s">
        <v>12471</v>
      </c>
    </row>
    <row r="780" spans="1:14">
      <c r="A780" s="12" t="s">
        <v>9168</v>
      </c>
      <c r="B780" s="8">
        <v>908.92853234341601</v>
      </c>
      <c r="C780" s="12">
        <v>359.89172830738198</v>
      </c>
      <c r="D780" s="8">
        <v>1.3366039180034099</v>
      </c>
      <c r="E780" s="12">
        <v>3.0579120129090799E-3</v>
      </c>
      <c r="F780" s="8" t="s">
        <v>9169</v>
      </c>
      <c r="G780" s="12" t="s">
        <v>9170</v>
      </c>
      <c r="H780" s="12">
        <v>1</v>
      </c>
      <c r="I780" s="13" t="str">
        <f>HYPERLINK("http://www.ncbi.nlm.nih.gov/gene/84081", "84081")</f>
        <v>84081</v>
      </c>
      <c r="J780" s="12" t="s">
        <v>15002</v>
      </c>
      <c r="K780" s="12" t="s">
        <v>15003</v>
      </c>
      <c r="L780" s="13" t="str">
        <f>HYPERLINK("http://asia.ensembl.org/Homo_sapiens/Gene/Summary?g=ENSG00000126653", "ENSG00000126653")</f>
        <v>ENSG00000126653</v>
      </c>
      <c r="M780" s="12" t="s">
        <v>15004</v>
      </c>
      <c r="N780" s="12" t="s">
        <v>15005</v>
      </c>
    </row>
    <row r="781" spans="1:14">
      <c r="A781" s="12" t="s">
        <v>5907</v>
      </c>
      <c r="B781" s="8">
        <v>1184.74609379545</v>
      </c>
      <c r="C781" s="12">
        <v>469.22627929283499</v>
      </c>
      <c r="D781" s="8">
        <v>1.33622218457186</v>
      </c>
      <c r="E781" s="12">
        <v>5.7781531660787996E-4</v>
      </c>
      <c r="F781" s="8" t="s">
        <v>5908</v>
      </c>
      <c r="G781" s="12" t="s">
        <v>5909</v>
      </c>
      <c r="H781" s="12">
        <v>1</v>
      </c>
      <c r="I781" s="13" t="str">
        <f>HYPERLINK("http://www.ncbi.nlm.nih.gov/gene/29945", "29945")</f>
        <v>29945</v>
      </c>
      <c r="J781" s="13" t="str">
        <f>HYPERLINK("http://www.ncbi.nlm.nih.gov/nuccore/NM_013367", "NM_013367")</f>
        <v>NM_013367</v>
      </c>
      <c r="K781" s="12" t="s">
        <v>5910</v>
      </c>
      <c r="L781" s="13" t="str">
        <f>HYPERLINK("http://asia.ensembl.org/Homo_sapiens/Gene/Summary?g=ENSG00000053900", "ENSG00000053900")</f>
        <v>ENSG00000053900</v>
      </c>
      <c r="M781" s="12" t="s">
        <v>13962</v>
      </c>
      <c r="N781" s="12" t="s">
        <v>13963</v>
      </c>
    </row>
    <row r="782" spans="1:14">
      <c r="A782" s="12" t="s">
        <v>9253</v>
      </c>
      <c r="B782" s="8">
        <v>441.94090102891602</v>
      </c>
      <c r="C782" s="12">
        <v>175.08831765031999</v>
      </c>
      <c r="D782" s="8">
        <v>1.33577063013344</v>
      </c>
      <c r="E782" s="12">
        <v>1.2226582536755201E-2</v>
      </c>
      <c r="F782" s="8" t="s">
        <v>9254</v>
      </c>
      <c r="G782" s="12" t="s">
        <v>9255</v>
      </c>
      <c r="H782" s="12">
        <v>1</v>
      </c>
      <c r="I782" s="13" t="str">
        <f>HYPERLINK("http://www.ncbi.nlm.nih.gov/gene/64073", "64073")</f>
        <v>64073</v>
      </c>
      <c r="J782" s="13" t="str">
        <f>HYPERLINK("http://www.ncbi.nlm.nih.gov/nuccore/NM_033520", "NM_033520")</f>
        <v>NM_033520</v>
      </c>
      <c r="K782" s="12" t="s">
        <v>9256</v>
      </c>
      <c r="L782" s="13" t="str">
        <f>HYPERLINK("http://asia.ensembl.org/Homo_sapiens/Gene/Summary?g=ENSG00000167644", "ENSG00000167644")</f>
        <v>ENSG00000167644</v>
      </c>
      <c r="M782" s="12" t="s">
        <v>15021</v>
      </c>
      <c r="N782" s="12" t="s">
        <v>15022</v>
      </c>
    </row>
    <row r="783" spans="1:14">
      <c r="A783" s="12" t="s">
        <v>2160</v>
      </c>
      <c r="B783" s="8">
        <v>23700.4971328108</v>
      </c>
      <c r="C783" s="12">
        <v>9397.1580201508605</v>
      </c>
      <c r="D783" s="8">
        <v>1.33462090686287</v>
      </c>
      <c r="E783" s="12">
        <v>1.6777179961466E-2</v>
      </c>
      <c r="F783" s="8" t="s">
        <v>2161</v>
      </c>
      <c r="G783" s="12" t="s">
        <v>2162</v>
      </c>
      <c r="H783" s="12">
        <v>1</v>
      </c>
      <c r="I783" s="13" t="str">
        <f>HYPERLINK("http://www.ncbi.nlm.nih.gov/gene/51602", "51602")</f>
        <v>51602</v>
      </c>
      <c r="J783" s="13" t="str">
        <f>HYPERLINK("http://www.ncbi.nlm.nih.gov/nuccore/NM_015934", "NM_015934")</f>
        <v>NM_015934</v>
      </c>
      <c r="K783" s="12" t="s">
        <v>2163</v>
      </c>
      <c r="L783" s="13" t="str">
        <f>HYPERLINK("http://asia.ensembl.org/Homo_sapiens/Gene/Summary?g=ENSG00000055044", "ENSG00000055044")</f>
        <v>ENSG00000055044</v>
      </c>
      <c r="M783" s="12" t="s">
        <v>12560</v>
      </c>
      <c r="N783" s="12" t="s">
        <v>12561</v>
      </c>
    </row>
    <row r="784" spans="1:14">
      <c r="A784" s="12" t="s">
        <v>746</v>
      </c>
      <c r="B784" s="8">
        <v>126.099609052826</v>
      </c>
      <c r="C784" s="12">
        <v>49.999999999999901</v>
      </c>
      <c r="D784" s="8">
        <v>1.3345638028792699</v>
      </c>
      <c r="E784" s="12">
        <v>3.2972394376774199E-3</v>
      </c>
      <c r="F784" s="8" t="s">
        <v>747</v>
      </c>
      <c r="G784" s="12" t="s">
        <v>748</v>
      </c>
      <c r="H784" s="12">
        <v>1</v>
      </c>
      <c r="I784" s="13" t="str">
        <f>HYPERLINK("http://www.ncbi.nlm.nih.gov/gene/79631", "79631")</f>
        <v>79631</v>
      </c>
      <c r="J784" s="12" t="s">
        <v>12087</v>
      </c>
      <c r="K784" s="12" t="s">
        <v>12088</v>
      </c>
      <c r="L784" s="13" t="str">
        <f>HYPERLINK("http://asia.ensembl.org/Homo_sapiens/Gene/Summary?g=ENSG00000140598", "ENSG00000140598")</f>
        <v>ENSG00000140598</v>
      </c>
      <c r="M784" s="12" t="s">
        <v>12089</v>
      </c>
      <c r="N784" s="12" t="s">
        <v>12090</v>
      </c>
    </row>
    <row r="785" spans="1:14">
      <c r="A785" s="12" t="s">
        <v>4684</v>
      </c>
      <c r="B785" s="8">
        <v>1670.02875637796</v>
      </c>
      <c r="C785" s="12">
        <v>663.14395785801105</v>
      </c>
      <c r="D785" s="8">
        <v>1.33247894953643</v>
      </c>
      <c r="E785" s="12">
        <v>4.16912440232599E-3</v>
      </c>
      <c r="F785" s="8" t="s">
        <v>4685</v>
      </c>
      <c r="G785" s="12" t="s">
        <v>13347</v>
      </c>
      <c r="H785" s="12">
        <v>1</v>
      </c>
      <c r="I785" s="13" t="str">
        <f>HYPERLINK("http://www.ncbi.nlm.nih.gov/gene/1964", "1964")</f>
        <v>1964</v>
      </c>
      <c r="J785" s="13" t="str">
        <f>HYPERLINK("http://www.ncbi.nlm.nih.gov/nuccore/NM_001412", "NM_001412")</f>
        <v>NM_001412</v>
      </c>
      <c r="K785" s="12" t="s">
        <v>4686</v>
      </c>
      <c r="L785" s="13" t="str">
        <f>HYPERLINK("http://asia.ensembl.org/Homo_sapiens/Gene/Summary?g=ENSG00000173674", "ENSG00000173674")</f>
        <v>ENSG00000173674</v>
      </c>
      <c r="M785" s="12" t="s">
        <v>13348</v>
      </c>
      <c r="N785" s="12" t="s">
        <v>13349</v>
      </c>
    </row>
    <row r="786" spans="1:14">
      <c r="A786" s="12" t="s">
        <v>8327</v>
      </c>
      <c r="B786" s="8">
        <v>961.990586248471</v>
      </c>
      <c r="C786" s="12">
        <v>382.07359055946</v>
      </c>
      <c r="D786" s="8">
        <v>1.3321722361633901</v>
      </c>
      <c r="E786" s="12">
        <v>2.2674613965979199E-5</v>
      </c>
      <c r="F786" s="8" t="s">
        <v>436</v>
      </c>
      <c r="G786" s="12" t="s">
        <v>437</v>
      </c>
      <c r="H786" s="12">
        <v>1</v>
      </c>
      <c r="I786" s="13" t="str">
        <f>HYPERLINK("http://www.ncbi.nlm.nih.gov/gene/115209", "115209")</f>
        <v>115209</v>
      </c>
      <c r="J786" s="13" t="str">
        <f>HYPERLINK("http://www.ncbi.nlm.nih.gov/nuccore/NM_145243", "NM_145243")</f>
        <v>NM_145243</v>
      </c>
      <c r="K786" s="12" t="s">
        <v>438</v>
      </c>
      <c r="L786" s="13" t="str">
        <f>HYPERLINK("http://asia.ensembl.org/Homo_sapiens/Gene/Summary?g=ENSG00000162600", "ENSG00000162600")</f>
        <v>ENSG00000162600</v>
      </c>
      <c r="M786" s="12" t="s">
        <v>11979</v>
      </c>
      <c r="N786" s="12" t="s">
        <v>11980</v>
      </c>
    </row>
    <row r="787" spans="1:14">
      <c r="A787" s="12" t="s">
        <v>3131</v>
      </c>
      <c r="B787" s="8">
        <v>346.98321473226298</v>
      </c>
      <c r="C787" s="12">
        <v>137.82803861550701</v>
      </c>
      <c r="D787" s="8">
        <v>1.33199646625962</v>
      </c>
      <c r="E787" s="12">
        <v>1.3505131886512499E-5</v>
      </c>
      <c r="F787" s="8" t="s">
        <v>3132</v>
      </c>
      <c r="G787" s="12" t="s">
        <v>3133</v>
      </c>
      <c r="H787" s="12">
        <v>1</v>
      </c>
      <c r="I787" s="13" t="str">
        <f>HYPERLINK("http://www.ncbi.nlm.nih.gov/gene/767", "767")</f>
        <v>767</v>
      </c>
      <c r="J787" s="13" t="str">
        <f>HYPERLINK("http://www.ncbi.nlm.nih.gov/nuccore/NM_004056", "NM_004056")</f>
        <v>NM_004056</v>
      </c>
      <c r="K787" s="12" t="s">
        <v>3134</v>
      </c>
      <c r="L787" s="13" t="str">
        <f>HYPERLINK("http://asia.ensembl.org/Homo_sapiens/Gene/Summary?g=ENSG00000178538", "ENSG00000178538")</f>
        <v>ENSG00000178538</v>
      </c>
      <c r="M787" s="12" t="s">
        <v>12891</v>
      </c>
      <c r="N787" s="12" t="s">
        <v>3135</v>
      </c>
    </row>
    <row r="788" spans="1:14">
      <c r="A788" s="12" t="s">
        <v>5620</v>
      </c>
      <c r="B788" s="8">
        <v>1733.0733582463099</v>
      </c>
      <c r="C788" s="12">
        <v>688.51341696506802</v>
      </c>
      <c r="D788" s="8">
        <v>1.33177604943914</v>
      </c>
      <c r="E788" s="12">
        <v>4.3505346199434001E-3</v>
      </c>
      <c r="F788" s="8" t="s">
        <v>5621</v>
      </c>
      <c r="G788" s="12" t="s">
        <v>5622</v>
      </c>
      <c r="H788" s="12">
        <v>1</v>
      </c>
      <c r="I788" s="13" t="str">
        <f>HYPERLINK("http://www.ncbi.nlm.nih.gov/gene/196527", "196527")</f>
        <v>196527</v>
      </c>
      <c r="J788" s="12" t="s">
        <v>13847</v>
      </c>
      <c r="K788" s="12" t="s">
        <v>13848</v>
      </c>
      <c r="L788" s="13" t="str">
        <f>HYPERLINK("http://asia.ensembl.org/Homo_sapiens/Gene/Summary?g=ENSG00000177119", "ENSG00000177119")</f>
        <v>ENSG00000177119</v>
      </c>
      <c r="M788" s="12" t="s">
        <v>13849</v>
      </c>
      <c r="N788" s="12" t="s">
        <v>13850</v>
      </c>
    </row>
    <row r="789" spans="1:14">
      <c r="A789" s="12" t="s">
        <v>4928</v>
      </c>
      <c r="B789" s="8">
        <v>147.75999246607799</v>
      </c>
      <c r="C789" s="12">
        <v>58.719734731787398</v>
      </c>
      <c r="D789" s="8">
        <v>1.3313383419843401</v>
      </c>
      <c r="E789" s="12">
        <v>6.5716864814747101E-3</v>
      </c>
      <c r="F789" s="8" t="s">
        <v>4929</v>
      </c>
      <c r="G789" s="12" t="s">
        <v>13488</v>
      </c>
      <c r="H789" s="12">
        <v>1</v>
      </c>
      <c r="I789" s="13" t="str">
        <f>HYPERLINK("http://www.ncbi.nlm.nih.gov/gene/841", "841")</f>
        <v>841</v>
      </c>
      <c r="J789" s="12" t="s">
        <v>13489</v>
      </c>
      <c r="K789" s="12" t="s">
        <v>13490</v>
      </c>
      <c r="L789" s="13" t="str">
        <f>HYPERLINK("http://asia.ensembl.org/Homo_sapiens/Gene/Summary?g=ENSG00000064012", "ENSG00000064012")</f>
        <v>ENSG00000064012</v>
      </c>
      <c r="M789" s="12" t="s">
        <v>13491</v>
      </c>
      <c r="N789" s="12" t="s">
        <v>13492</v>
      </c>
    </row>
    <row r="790" spans="1:14">
      <c r="A790" s="12" t="s">
        <v>10364</v>
      </c>
      <c r="B790" s="8">
        <v>289.61274714053002</v>
      </c>
      <c r="C790" s="12">
        <v>115.125289647424</v>
      </c>
      <c r="D790" s="8">
        <v>1.33092031717711</v>
      </c>
      <c r="E790" s="12">
        <v>4.9394455830836497E-3</v>
      </c>
      <c r="F790" s="8" t="s">
        <v>9778</v>
      </c>
      <c r="G790" s="12" t="s">
        <v>9779</v>
      </c>
      <c r="H790" s="12">
        <v>1</v>
      </c>
      <c r="I790" s="13" t="str">
        <f>HYPERLINK("http://www.ncbi.nlm.nih.gov/gene/284323", "284323")</f>
        <v>284323</v>
      </c>
      <c r="J790" s="12" t="s">
        <v>15413</v>
      </c>
      <c r="K790" s="12" t="s">
        <v>15414</v>
      </c>
      <c r="L790" s="13" t="str">
        <f>HYPERLINK("http://asia.ensembl.org/Homo_sapiens/Gene/Summary?g=ENSG00000280568", "ENSG00000280568")</f>
        <v>ENSG00000280568</v>
      </c>
      <c r="M790" s="12" t="s">
        <v>15415</v>
      </c>
      <c r="N790" s="12" t="s">
        <v>15416</v>
      </c>
    </row>
    <row r="791" spans="1:14">
      <c r="A791" s="12" t="s">
        <v>10784</v>
      </c>
      <c r="B791" s="8">
        <v>1105.8753284263901</v>
      </c>
      <c r="C791" s="12">
        <v>439.63893503885799</v>
      </c>
      <c r="D791" s="8">
        <v>1.3307976874291001</v>
      </c>
      <c r="E791" s="12">
        <v>5.74540398095042E-5</v>
      </c>
      <c r="F791" s="8" t="s">
        <v>6797</v>
      </c>
      <c r="G791" s="12" t="s">
        <v>15876</v>
      </c>
      <c r="H791" s="12">
        <v>1</v>
      </c>
      <c r="I791" s="13" t="str">
        <f>HYPERLINK("http://www.ncbi.nlm.nih.gov/gene/85461", "85461")</f>
        <v>85461</v>
      </c>
      <c r="J791" s="12" t="s">
        <v>15877</v>
      </c>
      <c r="K791" s="12" t="s">
        <v>15878</v>
      </c>
      <c r="L791" s="13" t="str">
        <f>HYPERLINK("http://asia.ensembl.org/Homo_sapiens/Gene/Summary?g=ENSG00000115183", "ENSG00000115183")</f>
        <v>ENSG00000115183</v>
      </c>
      <c r="M791" s="12" t="s">
        <v>15879</v>
      </c>
      <c r="N791" s="12" t="s">
        <v>15880</v>
      </c>
    </row>
    <row r="792" spans="1:14">
      <c r="A792" s="12" t="s">
        <v>10194</v>
      </c>
      <c r="B792" s="8">
        <v>952.90536974395104</v>
      </c>
      <c r="C792" s="12">
        <v>378.86830463741302</v>
      </c>
      <c r="D792" s="8">
        <v>1.3306364994864299</v>
      </c>
      <c r="E792" s="12">
        <v>2.4370482026155599E-4</v>
      </c>
      <c r="F792" s="8" t="s">
        <v>6633</v>
      </c>
      <c r="G792" s="12" t="s">
        <v>6634</v>
      </c>
      <c r="H792" s="12">
        <v>1</v>
      </c>
      <c r="I792" s="13" t="str">
        <f>HYPERLINK("http://www.ncbi.nlm.nih.gov/gene/81790", "81790")</f>
        <v>81790</v>
      </c>
      <c r="J792" s="12" t="s">
        <v>15309</v>
      </c>
      <c r="K792" s="12" t="s">
        <v>15310</v>
      </c>
      <c r="L792" s="13" t="str">
        <f>HYPERLINK("http://asia.ensembl.org/Homo_sapiens/Gene/Summary?g=ENSG00000120925", "ENSG00000120925")</f>
        <v>ENSG00000120925</v>
      </c>
      <c r="M792" s="12" t="s">
        <v>15311</v>
      </c>
      <c r="N792" s="12" t="s">
        <v>15312</v>
      </c>
    </row>
    <row r="793" spans="1:14">
      <c r="A793" s="12" t="s">
        <v>2857</v>
      </c>
      <c r="B793" s="8">
        <v>421.12276267902303</v>
      </c>
      <c r="C793" s="12">
        <v>167.47104901534101</v>
      </c>
      <c r="D793" s="8">
        <v>1.3303291425302799</v>
      </c>
      <c r="E793" s="12">
        <v>8.3438619780998302E-5</v>
      </c>
      <c r="F793" s="8" t="s">
        <v>2858</v>
      </c>
      <c r="G793" s="12" t="s">
        <v>2859</v>
      </c>
      <c r="H793" s="12">
        <v>1</v>
      </c>
      <c r="I793" s="13" t="str">
        <f>HYPERLINK("http://www.ncbi.nlm.nih.gov/gene/84955", "84955")</f>
        <v>84955</v>
      </c>
      <c r="J793" s="12" t="s">
        <v>12810</v>
      </c>
      <c r="K793" s="12" t="s">
        <v>12811</v>
      </c>
      <c r="L793" s="13" t="str">
        <f>HYPERLINK("http://asia.ensembl.org/Homo_sapiens/Gene/Summary?g=ENSG00000120526", "ENSG00000120526")</f>
        <v>ENSG00000120526</v>
      </c>
      <c r="M793" s="12" t="s">
        <v>12812</v>
      </c>
      <c r="N793" s="12" t="s">
        <v>12813</v>
      </c>
    </row>
    <row r="794" spans="1:14">
      <c r="A794" s="12" t="s">
        <v>11085</v>
      </c>
      <c r="B794" s="8">
        <v>289.69926650379301</v>
      </c>
      <c r="C794" s="12">
        <v>115.22285564559</v>
      </c>
      <c r="D794" s="8">
        <v>1.33012911316516</v>
      </c>
      <c r="E794" s="12">
        <v>1.81573488328306E-3</v>
      </c>
      <c r="F794" s="8" t="s">
        <v>4563</v>
      </c>
      <c r="G794" s="12" t="s">
        <v>15972</v>
      </c>
      <c r="H794" s="12">
        <v>1</v>
      </c>
      <c r="I794" s="13" t="str">
        <f>HYPERLINK("http://www.ncbi.nlm.nih.gov/gene/2005", "2005")</f>
        <v>2005</v>
      </c>
      <c r="J794" s="13" t="str">
        <f>HYPERLINK("http://www.ncbi.nlm.nih.gov/nuccore/NM_001973", "NM_001973")</f>
        <v>NM_001973</v>
      </c>
      <c r="K794" s="12" t="s">
        <v>11086</v>
      </c>
      <c r="L794" s="13" t="str">
        <f>HYPERLINK("http://asia.ensembl.org/Homo_sapiens/Gene/Summary?g=ENSG00000158711", "ENSG00000158711")</f>
        <v>ENSG00000158711</v>
      </c>
      <c r="M794" s="12" t="s">
        <v>15973</v>
      </c>
      <c r="N794" s="12" t="s">
        <v>15974</v>
      </c>
    </row>
    <row r="795" spans="1:14">
      <c r="A795" s="12" t="s">
        <v>4443</v>
      </c>
      <c r="B795" s="8">
        <v>1287.8868638339</v>
      </c>
      <c r="C795" s="12">
        <v>512.77024332614496</v>
      </c>
      <c r="D795" s="8">
        <v>1.3286214153484399</v>
      </c>
      <c r="E795" s="12">
        <v>6.4250671032167299E-3</v>
      </c>
      <c r="F795" s="8" t="s">
        <v>4444</v>
      </c>
      <c r="G795" s="12" t="s">
        <v>13235</v>
      </c>
      <c r="H795" s="12">
        <v>1</v>
      </c>
      <c r="I795" s="13" t="str">
        <f>HYPERLINK("http://www.ncbi.nlm.nih.gov/gene/5911", "5911")</f>
        <v>5911</v>
      </c>
      <c r="J795" s="13" t="str">
        <f>HYPERLINK("http://www.ncbi.nlm.nih.gov/nuccore/NM_021033", "NM_021033")</f>
        <v>NM_021033</v>
      </c>
      <c r="K795" s="12" t="s">
        <v>4445</v>
      </c>
      <c r="L795" s="13" t="str">
        <f>HYPERLINK("http://asia.ensembl.org/Homo_sapiens/Gene/Summary?g=ENSG00000125249", "ENSG00000125249")</f>
        <v>ENSG00000125249</v>
      </c>
      <c r="M795" s="12" t="s">
        <v>13236</v>
      </c>
      <c r="N795" s="12" t="s">
        <v>13237</v>
      </c>
    </row>
    <row r="796" spans="1:14">
      <c r="A796" s="12" t="s">
        <v>4847</v>
      </c>
      <c r="B796" s="8">
        <v>1322.07952580388</v>
      </c>
      <c r="C796" s="12">
        <v>526.46497657911198</v>
      </c>
      <c r="D796" s="8">
        <v>1.3283994971898201</v>
      </c>
      <c r="E796" s="12">
        <v>4.7081406776392299E-3</v>
      </c>
      <c r="F796" s="8" t="s">
        <v>4848</v>
      </c>
      <c r="G796" s="12" t="s">
        <v>4849</v>
      </c>
      <c r="H796" s="12">
        <v>1</v>
      </c>
      <c r="I796" s="13" t="str">
        <f>HYPERLINK("http://www.ncbi.nlm.nih.gov/gene/5357", "5357")</f>
        <v>5357</v>
      </c>
      <c r="J796" s="12" t="s">
        <v>13425</v>
      </c>
      <c r="K796" s="12" t="s">
        <v>13426</v>
      </c>
      <c r="L796" s="13" t="str">
        <f>HYPERLINK("http://asia.ensembl.org/Homo_sapiens/Gene/Summary?g=ENSG00000120756", "ENSG00000120756")</f>
        <v>ENSG00000120756</v>
      </c>
      <c r="M796" s="12" t="s">
        <v>13427</v>
      </c>
      <c r="N796" s="12" t="s">
        <v>13428</v>
      </c>
    </row>
    <row r="797" spans="1:14">
      <c r="A797" s="12" t="s">
        <v>2196</v>
      </c>
      <c r="B797" s="8">
        <v>4605.9172178157996</v>
      </c>
      <c r="C797" s="12">
        <v>1834.4783092165601</v>
      </c>
      <c r="D797" s="8">
        <v>1.3281186354647201</v>
      </c>
      <c r="E797" s="12">
        <v>2.2035006029158498E-3</v>
      </c>
      <c r="F797" s="8" t="s">
        <v>2197</v>
      </c>
      <c r="G797" s="12" t="s">
        <v>2198</v>
      </c>
      <c r="H797" s="12">
        <v>1</v>
      </c>
      <c r="I797" s="13" t="str">
        <f>HYPERLINK("http://www.ncbi.nlm.nih.gov/gene/79801", "79801")</f>
        <v>79801</v>
      </c>
      <c r="J797" s="13" t="str">
        <f>HYPERLINK("http://www.ncbi.nlm.nih.gov/nuccore/NM_024745", "NM_024745")</f>
        <v>NM_024745</v>
      </c>
      <c r="K797" s="12" t="s">
        <v>2199</v>
      </c>
      <c r="L797" s="13" t="str">
        <f>HYPERLINK("http://asia.ensembl.org/Homo_sapiens/Gene/Summary?g=ENSG00000171241", "ENSG00000171241")</f>
        <v>ENSG00000171241</v>
      </c>
      <c r="M797" s="12" t="s">
        <v>12568</v>
      </c>
      <c r="N797" s="12" t="s">
        <v>12569</v>
      </c>
    </row>
    <row r="798" spans="1:14">
      <c r="A798" s="12" t="s">
        <v>11148</v>
      </c>
      <c r="B798" s="8">
        <v>2180.3603348710699</v>
      </c>
      <c r="C798" s="12">
        <v>868.47982349142103</v>
      </c>
      <c r="D798" s="8">
        <v>1.32800234235646</v>
      </c>
      <c r="E798" s="12">
        <v>9.9835343651975394E-3</v>
      </c>
      <c r="F798" s="8" t="s">
        <v>38</v>
      </c>
      <c r="G798" s="12" t="s">
        <v>38</v>
      </c>
      <c r="H798" s="12">
        <v>1</v>
      </c>
      <c r="I798" s="12" t="s">
        <v>38</v>
      </c>
      <c r="J798" s="12" t="s">
        <v>38</v>
      </c>
      <c r="K798" s="12" t="s">
        <v>38</v>
      </c>
      <c r="L798" s="13" t="str">
        <f>HYPERLINK("http://asia.ensembl.org/Homo_sapiens/Gene/Summary?g=ENSG00000164253", "ENSG00000164253")</f>
        <v>ENSG00000164253</v>
      </c>
      <c r="M798" s="12" t="s">
        <v>11149</v>
      </c>
      <c r="N798" s="12" t="s">
        <v>15996</v>
      </c>
    </row>
    <row r="799" spans="1:14">
      <c r="A799" s="12" t="s">
        <v>1355</v>
      </c>
      <c r="B799" s="8">
        <v>5409.6885854140801</v>
      </c>
      <c r="C799" s="12">
        <v>2155.07344711003</v>
      </c>
      <c r="D799" s="8">
        <v>1.3278085074622901</v>
      </c>
      <c r="E799" s="12">
        <v>6.2431251198998396E-3</v>
      </c>
      <c r="F799" s="8" t="s">
        <v>1356</v>
      </c>
      <c r="G799" s="12" t="s">
        <v>12310</v>
      </c>
      <c r="H799" s="12">
        <v>1</v>
      </c>
      <c r="I799" s="13" t="str">
        <f>HYPERLINK("http://www.ncbi.nlm.nih.gov/gene/54443", "54443")</f>
        <v>54443</v>
      </c>
      <c r="J799" s="13" t="str">
        <f>HYPERLINK("http://www.ncbi.nlm.nih.gov/nuccore/NM_018685", "NM_018685")</f>
        <v>NM_018685</v>
      </c>
      <c r="K799" s="12" t="s">
        <v>1357</v>
      </c>
      <c r="L799" s="13" t="str">
        <f>HYPERLINK("http://asia.ensembl.org/Homo_sapiens/Gene/Summary?g=ENSG00000011426", "ENSG00000011426")</f>
        <v>ENSG00000011426</v>
      </c>
      <c r="M799" s="12" t="s">
        <v>12311</v>
      </c>
      <c r="N799" s="12" t="s">
        <v>12312</v>
      </c>
    </row>
    <row r="800" spans="1:14">
      <c r="A800" s="12" t="s">
        <v>276</v>
      </c>
      <c r="B800" s="8">
        <v>2016.3058806526701</v>
      </c>
      <c r="C800" s="12">
        <v>803.96885667413301</v>
      </c>
      <c r="D800" s="8">
        <v>1.32650299537338</v>
      </c>
      <c r="E800" s="12">
        <v>2.5380070685698101E-3</v>
      </c>
      <c r="F800" s="8" t="s">
        <v>277</v>
      </c>
      <c r="G800" s="12" t="s">
        <v>278</v>
      </c>
      <c r="H800" s="12">
        <v>1</v>
      </c>
      <c r="I800" s="13" t="str">
        <f>HYPERLINK("http://www.ncbi.nlm.nih.gov/gene/64844", "64844")</f>
        <v>64844</v>
      </c>
      <c r="J800" s="13" t="str">
        <f>HYPERLINK("http://www.ncbi.nlm.nih.gov/nuccore/NM_022826", "NM_022826")</f>
        <v>NM_022826</v>
      </c>
      <c r="K800" s="12" t="s">
        <v>279</v>
      </c>
      <c r="L800" s="13" t="str">
        <f>HYPERLINK("http://asia.ensembl.org/Homo_sapiens/Gene/Summary?g=ENSG00000136536", "ENSG00000136536")</f>
        <v>ENSG00000136536</v>
      </c>
      <c r="M800" s="12" t="s">
        <v>11932</v>
      </c>
      <c r="N800" s="12" t="s">
        <v>11933</v>
      </c>
    </row>
    <row r="801" spans="1:14">
      <c r="A801" s="12" t="s">
        <v>10300</v>
      </c>
      <c r="B801" s="8">
        <v>163.04770208316799</v>
      </c>
      <c r="C801" s="12">
        <v>65.0283640658308</v>
      </c>
      <c r="D801" s="8">
        <v>1.3261530734495499</v>
      </c>
      <c r="E801" s="12">
        <v>2.5983014728377901E-3</v>
      </c>
      <c r="F801" s="8" t="s">
        <v>2947</v>
      </c>
      <c r="G801" s="12" t="s">
        <v>2948</v>
      </c>
      <c r="H801" s="12">
        <v>1</v>
      </c>
      <c r="I801" s="13" t="str">
        <f>HYPERLINK("http://www.ncbi.nlm.nih.gov/gene/10767", "10767")</f>
        <v>10767</v>
      </c>
      <c r="J801" s="13" t="str">
        <f>HYPERLINK("http://www.ncbi.nlm.nih.gov/nuccore/NM_001145207", "NM_001145207")</f>
        <v>NM_001145207</v>
      </c>
      <c r="K801" s="12" t="s">
        <v>10301</v>
      </c>
      <c r="L801" s="13" t="str">
        <f>HYPERLINK("http://asia.ensembl.org/Homo_sapiens/Gene/Summary?g=ENSG00000112339", "ENSG00000112339")</f>
        <v>ENSG00000112339</v>
      </c>
      <c r="M801" s="12" t="s">
        <v>15379</v>
      </c>
      <c r="N801" s="12" t="s">
        <v>15380</v>
      </c>
    </row>
    <row r="802" spans="1:14">
      <c r="A802" s="12" t="s">
        <v>9489</v>
      </c>
      <c r="B802" s="8">
        <v>529.01931936522305</v>
      </c>
      <c r="C802" s="12">
        <v>211.12396843374501</v>
      </c>
      <c r="D802" s="8">
        <v>1.3252300354414599</v>
      </c>
      <c r="E802" s="12">
        <v>1.08792406666981E-2</v>
      </c>
      <c r="F802" s="8" t="s">
        <v>9490</v>
      </c>
      <c r="G802" s="12" t="s">
        <v>15046</v>
      </c>
      <c r="H802" s="12">
        <v>1</v>
      </c>
      <c r="I802" s="13" t="str">
        <f>HYPERLINK("http://www.ncbi.nlm.nih.gov/gene/388650", "388650")</f>
        <v>388650</v>
      </c>
      <c r="J802" s="12" t="s">
        <v>15047</v>
      </c>
      <c r="K802" s="12" t="s">
        <v>15048</v>
      </c>
      <c r="L802" s="13" t="str">
        <f>HYPERLINK("http://asia.ensembl.org/Homo_sapiens/Gene/Summary?g=ENSG00000154511", "ENSG00000154511")</f>
        <v>ENSG00000154511</v>
      </c>
      <c r="M802" s="12" t="s">
        <v>15049</v>
      </c>
      <c r="N802" s="12" t="s">
        <v>15050</v>
      </c>
    </row>
    <row r="803" spans="1:14">
      <c r="A803" s="12" t="s">
        <v>5268</v>
      </c>
      <c r="B803" s="8">
        <v>908.25070105641601</v>
      </c>
      <c r="C803" s="12">
        <v>362.59962730076097</v>
      </c>
      <c r="D803" s="8">
        <v>1.32471313201816</v>
      </c>
      <c r="E803" s="12">
        <v>1.59347271524946E-3</v>
      </c>
      <c r="F803" s="8" t="s">
        <v>5269</v>
      </c>
      <c r="G803" s="12" t="s">
        <v>5270</v>
      </c>
      <c r="H803" s="12">
        <v>1</v>
      </c>
      <c r="I803" s="13" t="str">
        <f>HYPERLINK("http://www.ncbi.nlm.nih.gov/gene/152559", "152559")</f>
        <v>152559</v>
      </c>
      <c r="J803" s="13" t="str">
        <f>HYPERLINK("http://www.ncbi.nlm.nih.gov/nuccore/NM_001040202", "NM_001040202")</f>
        <v>NM_001040202</v>
      </c>
      <c r="K803" s="12" t="s">
        <v>5271</v>
      </c>
      <c r="L803" s="13" t="str">
        <f>HYPERLINK("http://asia.ensembl.org/Homo_sapiens/Gene/Summary?g=ENSG00000163291", "ENSG00000163291")</f>
        <v>ENSG00000163291</v>
      </c>
      <c r="M803" s="12" t="s">
        <v>13650</v>
      </c>
      <c r="N803" s="12" t="s">
        <v>13651</v>
      </c>
    </row>
    <row r="804" spans="1:14">
      <c r="A804" s="12" t="s">
        <v>6499</v>
      </c>
      <c r="B804" s="8">
        <v>153.89121594588801</v>
      </c>
      <c r="C804" s="12">
        <v>61.446372140028203</v>
      </c>
      <c r="D804" s="8">
        <v>1.3245111455565399</v>
      </c>
      <c r="E804" s="12">
        <v>8.5374865823047395E-3</v>
      </c>
      <c r="F804" s="8" t="s">
        <v>38</v>
      </c>
      <c r="G804" s="12" t="s">
        <v>38</v>
      </c>
      <c r="H804" s="12">
        <v>1</v>
      </c>
      <c r="I804" s="12" t="s">
        <v>38</v>
      </c>
      <c r="J804" s="12" t="s">
        <v>38</v>
      </c>
      <c r="K804" s="12" t="s">
        <v>38</v>
      </c>
      <c r="L804" s="13" t="str">
        <f>HYPERLINK("http://asia.ensembl.org/Homo_sapiens/Gene/Summary?g=ENSG00000048471", "ENSG00000048471")</f>
        <v>ENSG00000048471</v>
      </c>
      <c r="M804" s="12" t="s">
        <v>6500</v>
      </c>
      <c r="N804" s="12" t="s">
        <v>14209</v>
      </c>
    </row>
    <row r="805" spans="1:14">
      <c r="A805" s="12" t="s">
        <v>2635</v>
      </c>
      <c r="B805" s="8">
        <v>555.71226692846403</v>
      </c>
      <c r="C805" s="12">
        <v>221.889479735143</v>
      </c>
      <c r="D805" s="8">
        <v>1.32449681920944</v>
      </c>
      <c r="E805" s="12">
        <v>4.8674161532340499E-3</v>
      </c>
      <c r="F805" s="8" t="s">
        <v>2636</v>
      </c>
      <c r="G805" s="12" t="s">
        <v>2637</v>
      </c>
      <c r="H805" s="12">
        <v>1</v>
      </c>
      <c r="I805" s="13" t="str">
        <f>HYPERLINK("http://www.ncbi.nlm.nih.gov/gene/10733", "10733")</f>
        <v>10733</v>
      </c>
      <c r="J805" s="12" t="s">
        <v>12722</v>
      </c>
      <c r="K805" s="12" t="s">
        <v>12723</v>
      </c>
      <c r="L805" s="13" t="str">
        <f>HYPERLINK("http://asia.ensembl.org/Homo_sapiens/Gene/Summary?g=ENSG00000142731", "ENSG00000142731")</f>
        <v>ENSG00000142731</v>
      </c>
      <c r="M805" s="12" t="s">
        <v>12724</v>
      </c>
      <c r="N805" s="12" t="s">
        <v>12725</v>
      </c>
    </row>
    <row r="806" spans="1:14">
      <c r="A806" s="12" t="s">
        <v>8960</v>
      </c>
      <c r="B806" s="8">
        <v>3650.6350439624798</v>
      </c>
      <c r="C806" s="12">
        <v>1459.73568214737</v>
      </c>
      <c r="D806" s="8">
        <v>1.32244028845661</v>
      </c>
      <c r="E806" s="12">
        <v>3.0326809878170901E-3</v>
      </c>
      <c r="F806" s="8" t="s">
        <v>8961</v>
      </c>
      <c r="G806" s="12" t="s">
        <v>14945</v>
      </c>
      <c r="H806" s="12">
        <v>1</v>
      </c>
      <c r="I806" s="13" t="str">
        <f>HYPERLINK("http://www.ncbi.nlm.nih.gov/gene/54892", "54892")</f>
        <v>54892</v>
      </c>
      <c r="J806" s="13" t="str">
        <f>HYPERLINK("http://www.ncbi.nlm.nih.gov/nuccore/NM_017760", "NM_017760")</f>
        <v>NM_017760</v>
      </c>
      <c r="K806" s="12" t="s">
        <v>8962</v>
      </c>
      <c r="L806" s="13" t="str">
        <f>HYPERLINK("http://asia.ensembl.org/Homo_sapiens/Gene/Summary?g=ENSG00000146918", "ENSG00000146918")</f>
        <v>ENSG00000146918</v>
      </c>
      <c r="M806" s="12" t="s">
        <v>14946</v>
      </c>
      <c r="N806" s="12" t="s">
        <v>14947</v>
      </c>
    </row>
    <row r="807" spans="1:14">
      <c r="A807" s="12" t="s">
        <v>11267</v>
      </c>
      <c r="B807" s="8">
        <v>8252.8605878752605</v>
      </c>
      <c r="C807" s="12">
        <v>3300.68191818073</v>
      </c>
      <c r="D807" s="8">
        <v>1.32213015485824</v>
      </c>
      <c r="E807" s="12">
        <v>8.9513251169020397E-3</v>
      </c>
      <c r="F807" s="8" t="s">
        <v>6577</v>
      </c>
      <c r="G807" s="12" t="s">
        <v>6578</v>
      </c>
      <c r="H807" s="12">
        <v>1</v>
      </c>
      <c r="I807" s="13" t="str">
        <f>HYPERLINK("http://www.ncbi.nlm.nih.gov/gene/23528", "23528")</f>
        <v>23528</v>
      </c>
      <c r="J807" s="13" t="str">
        <f>HYPERLINK("http://www.ncbi.nlm.nih.gov/nuccore/NM_012482", "NM_012482")</f>
        <v>NM_012482</v>
      </c>
      <c r="K807" s="12" t="s">
        <v>6579</v>
      </c>
      <c r="L807" s="13" t="str">
        <f>HYPERLINK("http://asia.ensembl.org/Homo_sapiens/Gene/Summary?g=ENSG00000162702", "ENSG00000162702")</f>
        <v>ENSG00000162702</v>
      </c>
      <c r="M807" s="12" t="s">
        <v>16075</v>
      </c>
      <c r="N807" s="12" t="s">
        <v>16076</v>
      </c>
    </row>
    <row r="808" spans="1:14">
      <c r="A808" s="12" t="s">
        <v>5961</v>
      </c>
      <c r="B808" s="8">
        <v>669.39379782390904</v>
      </c>
      <c r="C808" s="12">
        <v>267.87164665499301</v>
      </c>
      <c r="D808" s="8">
        <v>1.32131329932366</v>
      </c>
      <c r="E808" s="12">
        <v>1.1523050457600699E-3</v>
      </c>
      <c r="F808" s="8" t="s">
        <v>5962</v>
      </c>
      <c r="G808" s="12" t="s">
        <v>1216</v>
      </c>
      <c r="H808" s="12">
        <v>1</v>
      </c>
      <c r="I808" s="13" t="str">
        <f>HYPERLINK("http://www.ncbi.nlm.nih.gov/gene/11201", "11201")</f>
        <v>11201</v>
      </c>
      <c r="J808" s="13" t="str">
        <f>HYPERLINK("http://www.ncbi.nlm.nih.gov/nuccore/NM_007195", "NM_007195")</f>
        <v>NM_007195</v>
      </c>
      <c r="K808" s="12" t="s">
        <v>5963</v>
      </c>
      <c r="L808" s="13" t="str">
        <f>HYPERLINK("http://asia.ensembl.org/Homo_sapiens/Gene/Summary?g=ENSG00000101751", "ENSG00000101751")</f>
        <v>ENSG00000101751</v>
      </c>
      <c r="M808" s="12" t="s">
        <v>13981</v>
      </c>
      <c r="N808" s="12" t="s">
        <v>13982</v>
      </c>
    </row>
    <row r="809" spans="1:14">
      <c r="A809" s="12" t="s">
        <v>2375</v>
      </c>
      <c r="B809" s="8">
        <v>737.99771849294098</v>
      </c>
      <c r="C809" s="12">
        <v>295.37403477919099</v>
      </c>
      <c r="D809" s="8">
        <v>1.32107334644605</v>
      </c>
      <c r="E809" s="12">
        <v>7.1220025991978204E-3</v>
      </c>
      <c r="F809" s="8" t="s">
        <v>2376</v>
      </c>
      <c r="G809" s="12" t="s">
        <v>2377</v>
      </c>
      <c r="H809" s="12">
        <v>1</v>
      </c>
      <c r="I809" s="13" t="str">
        <f>HYPERLINK("http://www.ncbi.nlm.nih.gov/gene/9611", "9611")</f>
        <v>9611</v>
      </c>
      <c r="J809" s="12" t="s">
        <v>12618</v>
      </c>
      <c r="K809" s="12" t="s">
        <v>12619</v>
      </c>
      <c r="L809" s="13" t="str">
        <f>HYPERLINK("http://asia.ensembl.org/Homo_sapiens/Gene/Summary?g=ENSG00000141027", "ENSG00000141027")</f>
        <v>ENSG00000141027</v>
      </c>
      <c r="M809" s="12" t="s">
        <v>12620</v>
      </c>
      <c r="N809" s="12" t="s">
        <v>12621</v>
      </c>
    </row>
    <row r="810" spans="1:14">
      <c r="A810" s="12" t="s">
        <v>11228</v>
      </c>
      <c r="B810" s="8">
        <v>149.70193065413201</v>
      </c>
      <c r="C810" s="12">
        <v>59.9260550686516</v>
      </c>
      <c r="D810" s="8">
        <v>1.32083751790338</v>
      </c>
      <c r="E810" s="12">
        <v>2.2260489036612301E-2</v>
      </c>
      <c r="F810" s="8" t="s">
        <v>38</v>
      </c>
      <c r="G810" s="12" t="s">
        <v>38</v>
      </c>
      <c r="H810" s="12">
        <v>1</v>
      </c>
      <c r="I810" s="12" t="s">
        <v>38</v>
      </c>
      <c r="J810" s="12" t="s">
        <v>38</v>
      </c>
      <c r="K810" s="12" t="s">
        <v>38</v>
      </c>
      <c r="L810" s="13" t="str">
        <f>HYPERLINK("http://asia.ensembl.org/Homo_sapiens/Gene/Summary?g=ENSG00000140044", "ENSG00000140044")</f>
        <v>ENSG00000140044</v>
      </c>
      <c r="M810" s="12" t="s">
        <v>11229</v>
      </c>
      <c r="N810" s="12" t="s">
        <v>16050</v>
      </c>
    </row>
    <row r="811" spans="1:14">
      <c r="A811" s="12" t="s">
        <v>596</v>
      </c>
      <c r="B811" s="8">
        <v>1682.54619519992</v>
      </c>
      <c r="C811" s="12">
        <v>673.95425195990504</v>
      </c>
      <c r="D811" s="8">
        <v>1.31992354568891</v>
      </c>
      <c r="E811" s="12">
        <v>5.2827585824564297E-3</v>
      </c>
      <c r="F811" s="8" t="s">
        <v>597</v>
      </c>
      <c r="G811" s="12" t="s">
        <v>598</v>
      </c>
      <c r="H811" s="12">
        <v>1</v>
      </c>
      <c r="I811" s="13" t="str">
        <f>HYPERLINK("http://www.ncbi.nlm.nih.gov/gene/55841", "55841")</f>
        <v>55841</v>
      </c>
      <c r="J811" s="13" t="str">
        <f>HYPERLINK("http://www.ncbi.nlm.nih.gov/nuccore/NM_015691", "NM_015691")</f>
        <v>NM_015691</v>
      </c>
      <c r="K811" s="12" t="s">
        <v>599</v>
      </c>
      <c r="L811" s="13" t="str">
        <f>HYPERLINK("http://asia.ensembl.org/Homo_sapiens/Gene/Summary?g=ENSG00000047644", "ENSG00000047644")</f>
        <v>ENSG00000047644</v>
      </c>
      <c r="M811" s="12" t="s">
        <v>12048</v>
      </c>
      <c r="N811" s="12" t="s">
        <v>12049</v>
      </c>
    </row>
    <row r="812" spans="1:14">
      <c r="A812" s="12" t="s">
        <v>10738</v>
      </c>
      <c r="B812" s="8">
        <v>2314.46697700102</v>
      </c>
      <c r="C812" s="12">
        <v>927.44052119994501</v>
      </c>
      <c r="D812" s="8">
        <v>1.31935331168165</v>
      </c>
      <c r="E812" s="12">
        <v>2.4976915738707099E-3</v>
      </c>
      <c r="F812" s="8" t="s">
        <v>4655</v>
      </c>
      <c r="G812" s="12" t="s">
        <v>4656</v>
      </c>
      <c r="H812" s="12">
        <v>1</v>
      </c>
      <c r="I812" s="13" t="str">
        <f>HYPERLINK("http://www.ncbi.nlm.nih.gov/gene/197131", "197131")</f>
        <v>197131</v>
      </c>
      <c r="J812" s="13" t="str">
        <f>HYPERLINK("http://www.ncbi.nlm.nih.gov/nuccore/NM_174916", "NM_174916")</f>
        <v>NM_174916</v>
      </c>
      <c r="K812" s="12" t="s">
        <v>4657</v>
      </c>
      <c r="L812" s="13" t="str">
        <f>HYPERLINK("http://asia.ensembl.org/Homo_sapiens/Gene/Summary?g=ENSG00000159459", "ENSG00000159459")</f>
        <v>ENSG00000159459</v>
      </c>
      <c r="M812" s="12" t="s">
        <v>15792</v>
      </c>
      <c r="N812" s="12" t="s">
        <v>15793</v>
      </c>
    </row>
    <row r="813" spans="1:14">
      <c r="A813" s="12" t="s">
        <v>10067</v>
      </c>
      <c r="B813" s="8">
        <v>2995.3901035153699</v>
      </c>
      <c r="C813" s="12">
        <v>1200.53027595443</v>
      </c>
      <c r="D813" s="8">
        <v>1.31907211701103</v>
      </c>
      <c r="E813" s="12">
        <v>8.2077637925606992E-3</v>
      </c>
      <c r="F813" s="8" t="s">
        <v>2138</v>
      </c>
      <c r="G813" s="12" t="s">
        <v>2139</v>
      </c>
      <c r="H813" s="12">
        <v>1</v>
      </c>
      <c r="I813" s="13" t="str">
        <f>HYPERLINK("http://www.ncbi.nlm.nih.gov/gene/9734", "9734")</f>
        <v>9734</v>
      </c>
      <c r="J813" s="12" t="s">
        <v>15279</v>
      </c>
      <c r="K813" s="12" t="s">
        <v>15280</v>
      </c>
      <c r="L813" s="13" t="str">
        <f>HYPERLINK("http://asia.ensembl.org/Homo_sapiens/Gene/Summary?g=ENSG00000048052", "ENSG00000048052")</f>
        <v>ENSG00000048052</v>
      </c>
      <c r="M813" s="12" t="s">
        <v>15281</v>
      </c>
      <c r="N813" s="12" t="s">
        <v>15282</v>
      </c>
    </row>
    <row r="814" spans="1:14">
      <c r="A814" s="12" t="s">
        <v>7271</v>
      </c>
      <c r="B814" s="8">
        <v>38809.758773888498</v>
      </c>
      <c r="C814" s="12">
        <v>15554.951980698899</v>
      </c>
      <c r="D814" s="8">
        <v>1.3190455247578401</v>
      </c>
      <c r="E814" s="12">
        <v>6.62554412887766E-3</v>
      </c>
      <c r="F814" s="8" t="s">
        <v>7272</v>
      </c>
      <c r="G814" s="12" t="s">
        <v>7273</v>
      </c>
      <c r="H814" s="12">
        <v>1</v>
      </c>
      <c r="I814" s="13" t="str">
        <f>HYPERLINK("http://www.ncbi.nlm.nih.gov/gene/3930", "3930")</f>
        <v>3930</v>
      </c>
      <c r="J814" s="12" t="s">
        <v>14379</v>
      </c>
      <c r="K814" s="12" t="s">
        <v>14380</v>
      </c>
      <c r="L814" s="13" t="str">
        <f>HYPERLINK("http://asia.ensembl.org/Homo_sapiens/Gene/Summary?g=ENSG00000143815", "ENSG00000143815")</f>
        <v>ENSG00000143815</v>
      </c>
      <c r="M814" s="12" t="s">
        <v>14381</v>
      </c>
      <c r="N814" s="12" t="s">
        <v>14382</v>
      </c>
    </row>
    <row r="815" spans="1:14">
      <c r="A815" s="12" t="s">
        <v>8041</v>
      </c>
      <c r="B815" s="8">
        <v>11953.3416312018</v>
      </c>
      <c r="C815" s="12">
        <v>4793.3467460496104</v>
      </c>
      <c r="D815" s="8">
        <v>1.31830877698435</v>
      </c>
      <c r="E815" s="12">
        <v>1.18274950088617E-2</v>
      </c>
      <c r="F815" s="8" t="s">
        <v>8042</v>
      </c>
      <c r="G815" s="12" t="s">
        <v>8043</v>
      </c>
      <c r="H815" s="12">
        <v>1</v>
      </c>
      <c r="I815" s="13" t="str">
        <f>HYPERLINK("http://www.ncbi.nlm.nih.gov/gene/55740", "55740")</f>
        <v>55740</v>
      </c>
      <c r="J815" s="12" t="s">
        <v>14660</v>
      </c>
      <c r="K815" s="12" t="s">
        <v>14661</v>
      </c>
      <c r="L815" s="13" t="str">
        <f>HYPERLINK("http://asia.ensembl.org/Homo_sapiens/Gene/Summary?g=ENSG00000154380", "ENSG00000154380")</f>
        <v>ENSG00000154380</v>
      </c>
      <c r="M815" s="12" t="s">
        <v>14662</v>
      </c>
      <c r="N815" s="12" t="s">
        <v>14663</v>
      </c>
    </row>
    <row r="816" spans="1:14">
      <c r="A816" s="12" t="s">
        <v>10811</v>
      </c>
      <c r="B816" s="8">
        <v>2409.4202492243498</v>
      </c>
      <c r="C816" s="12">
        <v>966.19413499952998</v>
      </c>
      <c r="D816" s="8">
        <v>1.3183010488332301</v>
      </c>
      <c r="E816" s="12">
        <v>3.1917603686492501E-3</v>
      </c>
      <c r="F816" s="8" t="s">
        <v>4467</v>
      </c>
      <c r="G816" s="12" t="s">
        <v>4468</v>
      </c>
      <c r="H816" s="12">
        <v>1</v>
      </c>
      <c r="I816" s="13" t="str">
        <f>HYPERLINK("http://www.ncbi.nlm.nih.gov/gene/129642", "129642")</f>
        <v>129642</v>
      </c>
      <c r="J816" s="13" t="str">
        <f>HYPERLINK("http://www.ncbi.nlm.nih.gov/nuccore/NM_138799", "NM_138799")</f>
        <v>NM_138799</v>
      </c>
      <c r="K816" s="12" t="s">
        <v>4469</v>
      </c>
      <c r="L816" s="13" t="str">
        <f>HYPERLINK("http://asia.ensembl.org/Homo_sapiens/Gene/Summary?g=ENSG00000143797", "ENSG00000143797")</f>
        <v>ENSG00000143797</v>
      </c>
      <c r="M816" s="12" t="s">
        <v>15913</v>
      </c>
      <c r="N816" s="12" t="s">
        <v>15914</v>
      </c>
    </row>
    <row r="817" spans="1:14">
      <c r="A817" s="12" t="s">
        <v>10048</v>
      </c>
      <c r="B817" s="8">
        <v>252.10231444636699</v>
      </c>
      <c r="C817" s="12">
        <v>101.122385049854</v>
      </c>
      <c r="D817" s="8">
        <v>1.31790696692961</v>
      </c>
      <c r="E817" s="12">
        <v>8.8962715876062803E-3</v>
      </c>
      <c r="F817" s="8" t="s">
        <v>10049</v>
      </c>
      <c r="G817" s="12" t="s">
        <v>10050</v>
      </c>
      <c r="H817" s="12">
        <v>1</v>
      </c>
      <c r="I817" s="13" t="str">
        <f>HYPERLINK("http://www.ncbi.nlm.nih.gov/gene/170958", "170958")</f>
        <v>170958</v>
      </c>
      <c r="J817" s="13" t="str">
        <f>HYPERLINK("http://www.ncbi.nlm.nih.gov/nuccore/NR_003699", "NR_003699")</f>
        <v>NR_003699</v>
      </c>
      <c r="K817" s="12" t="s">
        <v>199</v>
      </c>
      <c r="L817" s="12" t="s">
        <v>38</v>
      </c>
      <c r="M817" s="12" t="s">
        <v>38</v>
      </c>
      <c r="N817" s="12" t="s">
        <v>38</v>
      </c>
    </row>
    <row r="818" spans="1:14">
      <c r="A818" s="12" t="s">
        <v>10510</v>
      </c>
      <c r="B818" s="8">
        <v>1587.1939502003099</v>
      </c>
      <c r="C818" s="12">
        <v>636.699531064962</v>
      </c>
      <c r="D818" s="8">
        <v>1.3177938250482599</v>
      </c>
      <c r="E818" s="12">
        <v>5.2109111599648603E-3</v>
      </c>
      <c r="F818" s="8" t="s">
        <v>6234</v>
      </c>
      <c r="G818" s="12" t="s">
        <v>6235</v>
      </c>
      <c r="H818" s="12">
        <v>1</v>
      </c>
      <c r="I818" s="13" t="str">
        <f>HYPERLINK("http://www.ncbi.nlm.nih.gov/gene/146057", "146057")</f>
        <v>146057</v>
      </c>
      <c r="J818" s="13" t="str">
        <f>HYPERLINK("http://www.ncbi.nlm.nih.gov/nuccore/NM_173500", "NM_173500")</f>
        <v>NM_173500</v>
      </c>
      <c r="K818" s="12" t="s">
        <v>6236</v>
      </c>
      <c r="L818" s="13" t="str">
        <f>HYPERLINK("http://asia.ensembl.org/Homo_sapiens/Gene/Summary?g=ENSG00000128881", "ENSG00000128881")</f>
        <v>ENSG00000128881</v>
      </c>
      <c r="M818" s="12" t="s">
        <v>15502</v>
      </c>
      <c r="N818" s="12" t="s">
        <v>15503</v>
      </c>
    </row>
    <row r="819" spans="1:14">
      <c r="A819" s="12" t="s">
        <v>11188</v>
      </c>
      <c r="B819" s="8">
        <v>151.24664250764201</v>
      </c>
      <c r="C819" s="12">
        <v>60.710460896667598</v>
      </c>
      <c r="D819" s="8">
        <v>1.31688608578332</v>
      </c>
      <c r="E819" s="12">
        <v>1.82315375752575E-2</v>
      </c>
      <c r="F819" s="8" t="s">
        <v>4788</v>
      </c>
      <c r="G819" s="12" t="s">
        <v>4789</v>
      </c>
      <c r="H819" s="12">
        <v>1</v>
      </c>
      <c r="I819" s="13" t="str">
        <f>HYPERLINK("http://www.ncbi.nlm.nih.gov/gene/3034", "3034")</f>
        <v>3034</v>
      </c>
      <c r="J819" s="12" t="s">
        <v>16018</v>
      </c>
      <c r="K819" s="12" t="s">
        <v>16019</v>
      </c>
      <c r="L819" s="13" t="str">
        <f>HYPERLINK("http://asia.ensembl.org/Homo_sapiens/Gene/Summary?g=ENSG00000084110", "ENSG00000084110")</f>
        <v>ENSG00000084110</v>
      </c>
      <c r="M819" s="12" t="s">
        <v>16020</v>
      </c>
      <c r="N819" s="12" t="s">
        <v>16021</v>
      </c>
    </row>
    <row r="820" spans="1:14">
      <c r="A820" s="12" t="s">
        <v>2675</v>
      </c>
      <c r="B820" s="8">
        <v>566.73564683915504</v>
      </c>
      <c r="C820" s="12">
        <v>227.61551450116499</v>
      </c>
      <c r="D820" s="8">
        <v>1.3160770521656999</v>
      </c>
      <c r="E820" s="12">
        <v>6.3229441377328803E-3</v>
      </c>
      <c r="F820" s="8" t="s">
        <v>2676</v>
      </c>
      <c r="G820" s="12" t="s">
        <v>2677</v>
      </c>
      <c r="H820" s="12">
        <v>1</v>
      </c>
      <c r="I820" s="13" t="str">
        <f>HYPERLINK("http://www.ncbi.nlm.nih.gov/gene/4774", "4774")</f>
        <v>4774</v>
      </c>
      <c r="J820" s="12" t="s">
        <v>12739</v>
      </c>
      <c r="K820" s="12" t="s">
        <v>12740</v>
      </c>
      <c r="L820" s="13" t="str">
        <f>HYPERLINK("http://asia.ensembl.org/Homo_sapiens/Gene/Summary?g=ENSG00000162599", "ENSG00000162599")</f>
        <v>ENSG00000162599</v>
      </c>
      <c r="M820" s="12" t="s">
        <v>12741</v>
      </c>
      <c r="N820" s="12" t="s">
        <v>12742</v>
      </c>
    </row>
    <row r="821" spans="1:14">
      <c r="A821" s="12" t="s">
        <v>252</v>
      </c>
      <c r="B821" s="8">
        <v>5292.4548551768603</v>
      </c>
      <c r="C821" s="12">
        <v>2125.88236830496</v>
      </c>
      <c r="D821" s="8">
        <v>1.31587528778079</v>
      </c>
      <c r="E821" s="12">
        <v>5.5776805067571404E-3</v>
      </c>
      <c r="F821" s="8" t="s">
        <v>253</v>
      </c>
      <c r="G821" s="12" t="s">
        <v>254</v>
      </c>
      <c r="H821" s="12">
        <v>1</v>
      </c>
      <c r="I821" s="13" t="str">
        <f>HYPERLINK("http://www.ncbi.nlm.nih.gov/gene/23379", "23379")</f>
        <v>23379</v>
      </c>
      <c r="J821" s="13" t="str">
        <f>HYPERLINK("http://www.ncbi.nlm.nih.gov/nuccore/NM_015325", "NM_015325")</f>
        <v>NM_015325</v>
      </c>
      <c r="K821" s="12" t="s">
        <v>255</v>
      </c>
      <c r="L821" s="13" t="str">
        <f>HYPERLINK("http://asia.ensembl.org/Homo_sapiens/Gene/Summary?g=ENSG00000164151", "ENSG00000164151")</f>
        <v>ENSG00000164151</v>
      </c>
      <c r="M821" s="12" t="s">
        <v>11925</v>
      </c>
      <c r="N821" s="12" t="s">
        <v>11926</v>
      </c>
    </row>
    <row r="822" spans="1:14">
      <c r="A822" s="12" t="s">
        <v>2843</v>
      </c>
      <c r="B822" s="8">
        <v>4684.0331109377703</v>
      </c>
      <c r="C822" s="12">
        <v>1882.4811509031799</v>
      </c>
      <c r="D822" s="8">
        <v>1.31511585472744</v>
      </c>
      <c r="E822" s="12">
        <v>1.1434652247873101E-2</v>
      </c>
      <c r="F822" s="8" t="s">
        <v>2844</v>
      </c>
      <c r="G822" s="12" t="s">
        <v>12799</v>
      </c>
      <c r="H822" s="12">
        <v>1</v>
      </c>
      <c r="I822" s="13" t="str">
        <f>HYPERLINK("http://www.ncbi.nlm.nih.gov/gene/57700", "57700")</f>
        <v>57700</v>
      </c>
      <c r="J822" s="13" t="str">
        <f>HYPERLINK("http://www.ncbi.nlm.nih.gov/nuccore/NM_020940", "NM_020940")</f>
        <v>NM_020940</v>
      </c>
      <c r="K822" s="12" t="s">
        <v>2845</v>
      </c>
      <c r="L822" s="13" t="str">
        <f>HYPERLINK("http://asia.ensembl.org/Homo_sapiens/Gene/Summary?g=ENSG00000151553", "ENSG00000151553")</f>
        <v>ENSG00000151553</v>
      </c>
      <c r="M822" s="12" t="s">
        <v>12800</v>
      </c>
      <c r="N822" s="12" t="s">
        <v>12801</v>
      </c>
    </row>
    <row r="823" spans="1:14">
      <c r="A823" s="12" t="s">
        <v>10289</v>
      </c>
      <c r="B823" s="8">
        <v>145.241086627074</v>
      </c>
      <c r="C823" s="12">
        <v>58.3762824513407</v>
      </c>
      <c r="D823" s="8">
        <v>1.3149953844473901</v>
      </c>
      <c r="E823" s="12">
        <v>4.0591151375475101E-3</v>
      </c>
      <c r="F823" s="8" t="s">
        <v>10290</v>
      </c>
      <c r="G823" s="12" t="s">
        <v>10291</v>
      </c>
      <c r="H823" s="12">
        <v>1</v>
      </c>
      <c r="I823" s="13" t="str">
        <f>HYPERLINK("http://www.ncbi.nlm.nih.gov/gene/9668", "9668")</f>
        <v>9668</v>
      </c>
      <c r="J823" s="13" t="str">
        <f>HYPERLINK("http://www.ncbi.nlm.nih.gov/nuccore/NM_014650", "NM_014650")</f>
        <v>NM_014650</v>
      </c>
      <c r="K823" s="12" t="s">
        <v>10292</v>
      </c>
      <c r="L823" s="13" t="str">
        <f>HYPERLINK("http://asia.ensembl.org/Homo_sapiens/Gene/Summary?g=ENSG00000256087", "ENSG00000256087")</f>
        <v>ENSG00000256087</v>
      </c>
      <c r="M823" s="12" t="s">
        <v>15369</v>
      </c>
      <c r="N823" s="12" t="s">
        <v>15370</v>
      </c>
    </row>
    <row r="824" spans="1:14">
      <c r="A824" s="12" t="s">
        <v>4293</v>
      </c>
      <c r="B824" s="8">
        <v>3724.03048313725</v>
      </c>
      <c r="C824" s="12">
        <v>1496.94210355154</v>
      </c>
      <c r="D824" s="8">
        <v>1.3148464580463</v>
      </c>
      <c r="E824" s="12">
        <v>1.4549023964566499E-3</v>
      </c>
      <c r="F824" s="8" t="s">
        <v>4294</v>
      </c>
      <c r="G824" s="12" t="s">
        <v>4295</v>
      </c>
      <c r="H824" s="12">
        <v>1</v>
      </c>
      <c r="I824" s="13" t="str">
        <f>HYPERLINK("http://www.ncbi.nlm.nih.gov/gene/9897", "9897")</f>
        <v>9897</v>
      </c>
      <c r="J824" s="13" t="str">
        <f>HYPERLINK("http://www.ncbi.nlm.nih.gov/nuccore/NM_014846", "NM_014846")</f>
        <v>NM_014846</v>
      </c>
      <c r="K824" s="12" t="s">
        <v>4296</v>
      </c>
      <c r="L824" s="13" t="str">
        <f>HYPERLINK("http://asia.ensembl.org/Homo_sapiens/Gene/Summary?g=ENSG00000164961", "ENSG00000164961")</f>
        <v>ENSG00000164961</v>
      </c>
      <c r="M824" s="12" t="s">
        <v>13186</v>
      </c>
      <c r="N824" s="12" t="s">
        <v>13187</v>
      </c>
    </row>
    <row r="825" spans="1:14">
      <c r="A825" s="12" t="s">
        <v>1248</v>
      </c>
      <c r="B825" s="8">
        <v>889.28288248915101</v>
      </c>
      <c r="C825" s="12">
        <v>357.52410233700101</v>
      </c>
      <c r="D825" s="8">
        <v>1.3146019121089101</v>
      </c>
      <c r="E825" s="12">
        <v>4.0662155332792703E-3</v>
      </c>
      <c r="F825" s="8" t="s">
        <v>1249</v>
      </c>
      <c r="G825" s="12" t="s">
        <v>1250</v>
      </c>
      <c r="H825" s="12">
        <v>1</v>
      </c>
      <c r="I825" s="13" t="str">
        <f>HYPERLINK("http://www.ncbi.nlm.nih.gov/gene/7627", "7627")</f>
        <v>7627</v>
      </c>
      <c r="J825" s="13" t="str">
        <f>HYPERLINK("http://www.ncbi.nlm.nih.gov/nuccore/NM_153028", "NM_153028")</f>
        <v>NM_153028</v>
      </c>
      <c r="K825" s="12" t="s">
        <v>1251</v>
      </c>
      <c r="L825" s="13" t="str">
        <f>HYPERLINK("http://asia.ensembl.org/Homo_sapiens/Gene/Summary?g=ENSG00000162086", "ENSG00000162086")</f>
        <v>ENSG00000162086</v>
      </c>
      <c r="M825" s="12" t="s">
        <v>12278</v>
      </c>
      <c r="N825" s="12" t="s">
        <v>12279</v>
      </c>
    </row>
    <row r="826" spans="1:14">
      <c r="A826" s="12" t="s">
        <v>10622</v>
      </c>
      <c r="B826" s="8">
        <v>350.36849699207198</v>
      </c>
      <c r="C826" s="12">
        <v>140.908896821014</v>
      </c>
      <c r="D826" s="8">
        <v>1.31411035781084</v>
      </c>
      <c r="E826" s="12">
        <v>2.4406636878033199E-4</v>
      </c>
      <c r="F826" s="8" t="s">
        <v>8030</v>
      </c>
      <c r="G826" s="12" t="s">
        <v>8031</v>
      </c>
      <c r="H826" s="12">
        <v>1</v>
      </c>
      <c r="I826" s="13" t="str">
        <f>HYPERLINK("http://www.ncbi.nlm.nih.gov/gene/23392", "23392")</f>
        <v>23392</v>
      </c>
      <c r="J826" s="13" t="str">
        <f>HYPERLINK("http://www.ncbi.nlm.nih.gov/nuccore/NM_001080398", "NM_001080398")</f>
        <v>NM_001080398</v>
      </c>
      <c r="K826" s="12" t="s">
        <v>8032</v>
      </c>
      <c r="L826" s="13" t="str">
        <f>HYPERLINK("http://asia.ensembl.org/Homo_sapiens/Gene/Summary?g=ENSG00000136813", "ENSG00000136813")</f>
        <v>ENSG00000136813</v>
      </c>
      <c r="M826" s="12" t="s">
        <v>14653</v>
      </c>
      <c r="N826" s="12" t="s">
        <v>14654</v>
      </c>
    </row>
    <row r="827" spans="1:14">
      <c r="A827" s="12" t="s">
        <v>7878</v>
      </c>
      <c r="B827" s="8">
        <v>768.89812355598497</v>
      </c>
      <c r="C827" s="12">
        <v>309.27329087016398</v>
      </c>
      <c r="D827" s="8">
        <v>1.31391021223739</v>
      </c>
      <c r="E827" s="12">
        <v>5.4443722672706304E-3</v>
      </c>
      <c r="F827" s="8" t="s">
        <v>7879</v>
      </c>
      <c r="G827" s="12" t="s">
        <v>14595</v>
      </c>
      <c r="H827" s="12">
        <v>1</v>
      </c>
      <c r="I827" s="13" t="str">
        <f>HYPERLINK("http://www.ncbi.nlm.nih.gov/gene/23336", "23336")</f>
        <v>23336</v>
      </c>
      <c r="J827" s="12" t="s">
        <v>14596</v>
      </c>
      <c r="K827" s="12" t="s">
        <v>14597</v>
      </c>
      <c r="L827" s="13" t="str">
        <f>HYPERLINK("http://asia.ensembl.org/Homo_sapiens/Gene/Summary?g=ENSG00000182253", "ENSG00000182253")</f>
        <v>ENSG00000182253</v>
      </c>
      <c r="M827" s="12" t="s">
        <v>14598</v>
      </c>
      <c r="N827" s="12" t="s">
        <v>14599</v>
      </c>
    </row>
    <row r="828" spans="1:14">
      <c r="A828" s="12" t="s">
        <v>2290</v>
      </c>
      <c r="B828" s="8">
        <v>401.51146552787299</v>
      </c>
      <c r="C828" s="12">
        <v>161.53168216599801</v>
      </c>
      <c r="D828" s="8">
        <v>1.31362402881011</v>
      </c>
      <c r="E828" s="12">
        <v>1.4410079816666899E-5</v>
      </c>
      <c r="F828" s="8" t="s">
        <v>2291</v>
      </c>
      <c r="G828" s="12" t="s">
        <v>12594</v>
      </c>
      <c r="H828" s="12">
        <v>1</v>
      </c>
      <c r="I828" s="13" t="str">
        <f>HYPERLINK("http://www.ncbi.nlm.nih.gov/gene/1456", "1456")</f>
        <v>1456</v>
      </c>
      <c r="J828" s="12" t="s">
        <v>12595</v>
      </c>
      <c r="K828" s="12" t="s">
        <v>12596</v>
      </c>
      <c r="L828" s="13" t="str">
        <f>HYPERLINK("http://asia.ensembl.org/Homo_sapiens/Gene/Summary?g=ENSG00000151292", "ENSG00000151292")</f>
        <v>ENSG00000151292</v>
      </c>
      <c r="M828" s="12" t="s">
        <v>12597</v>
      </c>
      <c r="N828" s="12" t="s">
        <v>12598</v>
      </c>
    </row>
    <row r="829" spans="1:14">
      <c r="A829" s="12" t="s">
        <v>11117</v>
      </c>
      <c r="B829" s="8">
        <v>732.88547773542996</v>
      </c>
      <c r="C829" s="12">
        <v>294.85899683762102</v>
      </c>
      <c r="D829" s="8">
        <v>1.3135625625026801</v>
      </c>
      <c r="E829" s="12">
        <v>6.6134516962098001E-3</v>
      </c>
      <c r="F829" s="8" t="s">
        <v>10160</v>
      </c>
      <c r="G829" s="12" t="s">
        <v>10161</v>
      </c>
      <c r="H829" s="12">
        <v>1</v>
      </c>
      <c r="I829" s="13" t="str">
        <f>HYPERLINK("http://www.ncbi.nlm.nih.gov/gene/26058", "26058")</f>
        <v>26058</v>
      </c>
      <c r="J829" s="12" t="s">
        <v>15978</v>
      </c>
      <c r="K829" s="12" t="s">
        <v>15979</v>
      </c>
      <c r="L829" s="13" t="str">
        <f>HYPERLINK("http://asia.ensembl.org/Homo_sapiens/Gene/Summary?g=ENSG00000204120", "ENSG00000204120")</f>
        <v>ENSG00000204120</v>
      </c>
      <c r="M829" s="12" t="s">
        <v>15980</v>
      </c>
      <c r="N829" s="12" t="s">
        <v>15981</v>
      </c>
    </row>
    <row r="830" spans="1:14">
      <c r="A830" s="12" t="s">
        <v>3579</v>
      </c>
      <c r="B830" s="8">
        <v>124.247678520283</v>
      </c>
      <c r="C830" s="12">
        <v>50</v>
      </c>
      <c r="D830" s="8">
        <v>1.3132188963061699</v>
      </c>
      <c r="E830" s="12">
        <v>7.9470192039460697E-4</v>
      </c>
      <c r="F830" s="8" t="s">
        <v>3580</v>
      </c>
      <c r="G830" s="12" t="s">
        <v>3581</v>
      </c>
      <c r="H830" s="12">
        <v>1</v>
      </c>
      <c r="I830" s="13" t="str">
        <f>HYPERLINK("http://www.ncbi.nlm.nih.gov/gene/80816", "80816")</f>
        <v>80816</v>
      </c>
      <c r="J830" s="13" t="str">
        <f>HYPERLINK("http://www.ncbi.nlm.nih.gov/nuccore/NM_030632", "NM_030632")</f>
        <v>NM_030632</v>
      </c>
      <c r="K830" s="12" t="s">
        <v>3582</v>
      </c>
      <c r="L830" s="13" t="str">
        <f>HYPERLINK("http://asia.ensembl.org/Homo_sapiens/Gene/Summary?g=ENSG00000141431", "ENSG00000141431")</f>
        <v>ENSG00000141431</v>
      </c>
      <c r="M830" s="12" t="s">
        <v>13053</v>
      </c>
      <c r="N830" s="12" t="s">
        <v>13054</v>
      </c>
    </row>
    <row r="831" spans="1:14">
      <c r="A831" s="12" t="s">
        <v>2450</v>
      </c>
      <c r="B831" s="8">
        <v>848.40161324159897</v>
      </c>
      <c r="C831" s="12">
        <v>341.51679956386999</v>
      </c>
      <c r="D831" s="8">
        <v>1.3127908162467199</v>
      </c>
      <c r="E831" s="12">
        <v>4.2016997662972701E-3</v>
      </c>
      <c r="F831" s="8" t="s">
        <v>2451</v>
      </c>
      <c r="G831" s="12" t="s">
        <v>2452</v>
      </c>
      <c r="H831" s="12">
        <v>1</v>
      </c>
      <c r="I831" s="13" t="str">
        <f>HYPERLINK("http://www.ncbi.nlm.nih.gov/gene/23075", "23075")</f>
        <v>23075</v>
      </c>
      <c r="J831" s="13" t="str">
        <f>HYPERLINK("http://www.ncbi.nlm.nih.gov/nuccore/NM_015055", "NM_015055")</f>
        <v>NM_015055</v>
      </c>
      <c r="K831" s="12" t="s">
        <v>2453</v>
      </c>
      <c r="L831" s="13" t="str">
        <f>HYPERLINK("http://asia.ensembl.org/Homo_sapiens/Gene/Summary?g=ENSG00000133789", "ENSG00000133789")</f>
        <v>ENSG00000133789</v>
      </c>
      <c r="M831" s="12" t="s">
        <v>12648</v>
      </c>
      <c r="N831" s="12" t="s">
        <v>12649</v>
      </c>
    </row>
    <row r="832" spans="1:14">
      <c r="A832" s="12" t="s">
        <v>10814</v>
      </c>
      <c r="B832" s="8">
        <v>714.33206476738496</v>
      </c>
      <c r="C832" s="12">
        <v>287.69144604114399</v>
      </c>
      <c r="D832" s="8">
        <v>1.3120725562165001</v>
      </c>
      <c r="E832" s="12">
        <v>2.8595270477144601E-3</v>
      </c>
      <c r="F832" s="8" t="s">
        <v>6133</v>
      </c>
      <c r="G832" s="12" t="s">
        <v>6134</v>
      </c>
      <c r="H832" s="12">
        <v>1</v>
      </c>
      <c r="I832" s="13" t="str">
        <f>HYPERLINK("http://www.ncbi.nlm.nih.gov/gene/50804", "50804")</f>
        <v>50804</v>
      </c>
      <c r="J832" s="13" t="str">
        <f>HYPERLINK("http://www.ncbi.nlm.nih.gov/nuccore/NM_016132", "NM_016132")</f>
        <v>NM_016132</v>
      </c>
      <c r="K832" s="12" t="s">
        <v>6135</v>
      </c>
      <c r="L832" s="13" t="str">
        <f>HYPERLINK("http://asia.ensembl.org/Homo_sapiens/Gene/Summary?g=ENSG00000104177", "ENSG00000104177")</f>
        <v>ENSG00000104177</v>
      </c>
      <c r="M832" s="12" t="s">
        <v>15915</v>
      </c>
      <c r="N832" s="12" t="s">
        <v>15916</v>
      </c>
    </row>
    <row r="833" spans="1:14">
      <c r="A833" s="12" t="s">
        <v>6397</v>
      </c>
      <c r="B833" s="8">
        <v>10086.585843884701</v>
      </c>
      <c r="C833" s="12">
        <v>4064.9860572212801</v>
      </c>
      <c r="D833" s="8">
        <v>1.3111156176905701</v>
      </c>
      <c r="E833" s="12">
        <v>8.39502828090187E-3</v>
      </c>
      <c r="F833" s="8" t="s">
        <v>6398</v>
      </c>
      <c r="G833" s="12" t="s">
        <v>14161</v>
      </c>
      <c r="H833" s="12">
        <v>1</v>
      </c>
      <c r="I833" s="13" t="str">
        <f>HYPERLINK("http://www.ncbi.nlm.nih.gov/gene/5781", "5781")</f>
        <v>5781</v>
      </c>
      <c r="J833" s="13" t="str">
        <f>HYPERLINK("http://www.ncbi.nlm.nih.gov/nuccore/NM_002834", "NM_002834")</f>
        <v>NM_002834</v>
      </c>
      <c r="K833" s="12" t="s">
        <v>6399</v>
      </c>
      <c r="L833" s="13" t="str">
        <f>HYPERLINK("http://asia.ensembl.org/Homo_sapiens/Gene/Summary?g=ENSG00000179295", "ENSG00000179295")</f>
        <v>ENSG00000179295</v>
      </c>
      <c r="M833" s="12" t="s">
        <v>14162</v>
      </c>
      <c r="N833" s="12" t="s">
        <v>14163</v>
      </c>
    </row>
    <row r="834" spans="1:14">
      <c r="A834" s="12" t="s">
        <v>9392</v>
      </c>
      <c r="B834" s="8">
        <v>1032.53270337186</v>
      </c>
      <c r="C834" s="12">
        <v>416.54516620254702</v>
      </c>
      <c r="D834" s="8">
        <v>1.3096426354611601</v>
      </c>
      <c r="E834" s="12">
        <v>1.5816117234561701E-2</v>
      </c>
      <c r="F834" s="8" t="s">
        <v>9393</v>
      </c>
      <c r="G834" s="12" t="s">
        <v>9394</v>
      </c>
      <c r="H834" s="12">
        <v>1</v>
      </c>
      <c r="I834" s="13" t="str">
        <f>HYPERLINK("http://www.ncbi.nlm.nih.gov/gene/389432", "389432")</f>
        <v>389432</v>
      </c>
      <c r="J834" s="13" t="str">
        <f>HYPERLINK("http://www.ncbi.nlm.nih.gov/nuccore/NM_001030060", "NM_001030060")</f>
        <v>NM_001030060</v>
      </c>
      <c r="K834" s="12" t="s">
        <v>9395</v>
      </c>
      <c r="L834" s="13" t="str">
        <f>HYPERLINK("http://asia.ensembl.org/Homo_sapiens/Gene/Summary?g=ENSG00000203727", "ENSG00000203727")</f>
        <v>ENSG00000203727</v>
      </c>
      <c r="M834" s="12" t="s">
        <v>15030</v>
      </c>
      <c r="N834" s="12" t="s">
        <v>15031</v>
      </c>
    </row>
    <row r="835" spans="1:14">
      <c r="A835" s="12" t="s">
        <v>6280</v>
      </c>
      <c r="B835" s="8">
        <v>357.10770226941202</v>
      </c>
      <c r="C835" s="12">
        <v>144.153757385539</v>
      </c>
      <c r="D835" s="8">
        <v>1.3087508096471501</v>
      </c>
      <c r="E835" s="12">
        <v>1.53323852742025E-3</v>
      </c>
      <c r="F835" s="8" t="s">
        <v>6281</v>
      </c>
      <c r="G835" s="12" t="s">
        <v>6282</v>
      </c>
      <c r="H835" s="12">
        <v>1</v>
      </c>
      <c r="I835" s="13" t="str">
        <f>HYPERLINK("http://www.ncbi.nlm.nih.gov/gene/84223", "84223")</f>
        <v>84223</v>
      </c>
      <c r="J835" s="12" t="s">
        <v>14118</v>
      </c>
      <c r="K835" s="12" t="s">
        <v>14119</v>
      </c>
      <c r="L835" s="13" t="str">
        <f>HYPERLINK("http://asia.ensembl.org/Homo_sapiens/Gene/Summary?g=ENSG00000114473", "ENSG00000114473")</f>
        <v>ENSG00000114473</v>
      </c>
      <c r="M835" s="12" t="s">
        <v>14120</v>
      </c>
      <c r="N835" s="12" t="s">
        <v>14121</v>
      </c>
    </row>
    <row r="836" spans="1:14">
      <c r="A836" s="12" t="s">
        <v>10758</v>
      </c>
      <c r="B836" s="8">
        <v>3674.2443814804701</v>
      </c>
      <c r="C836" s="12">
        <v>1484.6765002587899</v>
      </c>
      <c r="D836" s="8">
        <v>1.30729897325863</v>
      </c>
      <c r="E836" s="12">
        <v>3.9206031940600198E-4</v>
      </c>
      <c r="F836" s="8" t="s">
        <v>6011</v>
      </c>
      <c r="G836" s="12" t="s">
        <v>6012</v>
      </c>
      <c r="H836" s="12">
        <v>1</v>
      </c>
      <c r="I836" s="13" t="str">
        <f>HYPERLINK("http://www.ncbi.nlm.nih.gov/gene/54495", "54495")</f>
        <v>54495</v>
      </c>
      <c r="J836" s="13" t="str">
        <f>HYPERLINK("http://www.ncbi.nlm.nih.gov/nuccore/NM_019022", "NM_019022")</f>
        <v>NM_019022</v>
      </c>
      <c r="K836" s="12" t="s">
        <v>6013</v>
      </c>
      <c r="L836" s="13" t="str">
        <f>HYPERLINK("http://asia.ensembl.org/Homo_sapiens/Gene/Summary?g=ENSG00000166479", "ENSG00000166479")</f>
        <v>ENSG00000166479</v>
      </c>
      <c r="M836" s="12" t="s">
        <v>14008</v>
      </c>
      <c r="N836" s="12" t="s">
        <v>14009</v>
      </c>
    </row>
    <row r="837" spans="1:14">
      <c r="A837" s="12" t="s">
        <v>10452</v>
      </c>
      <c r="B837" s="8">
        <v>259.60527666250198</v>
      </c>
      <c r="C837" s="12">
        <v>104.939658344283</v>
      </c>
      <c r="D837" s="8">
        <v>1.3067597093729899</v>
      </c>
      <c r="E837" s="12">
        <v>2.2347121088382899E-2</v>
      </c>
      <c r="F837" s="8" t="s">
        <v>38</v>
      </c>
      <c r="G837" s="12" t="s">
        <v>38</v>
      </c>
      <c r="H837" s="12">
        <v>1</v>
      </c>
      <c r="I837" s="12" t="s">
        <v>38</v>
      </c>
      <c r="J837" s="12" t="s">
        <v>38</v>
      </c>
      <c r="K837" s="12" t="s">
        <v>38</v>
      </c>
      <c r="L837" s="13" t="str">
        <f>HYPERLINK("http://asia.ensembl.org/Homo_sapiens/Gene/Summary?g=ENSG00000259092", "ENSG00000259092")</f>
        <v>ENSG00000259092</v>
      </c>
      <c r="M837" s="12" t="s">
        <v>10453</v>
      </c>
      <c r="N837" s="12" t="s">
        <v>10454</v>
      </c>
    </row>
    <row r="838" spans="1:14">
      <c r="A838" s="12" t="s">
        <v>5443</v>
      </c>
      <c r="B838" s="8">
        <v>1513.32365517011</v>
      </c>
      <c r="C838" s="12">
        <v>611.75020094194394</v>
      </c>
      <c r="D838" s="8">
        <v>1.30670599505244</v>
      </c>
      <c r="E838" s="12">
        <v>2.3015498977489398E-3</v>
      </c>
      <c r="F838" s="8" t="s">
        <v>5444</v>
      </c>
      <c r="G838" s="12" t="s">
        <v>13757</v>
      </c>
      <c r="H838" s="12">
        <v>1</v>
      </c>
      <c r="I838" s="13" t="str">
        <f>HYPERLINK("http://www.ncbi.nlm.nih.gov/gene/130340", "130340")</f>
        <v>130340</v>
      </c>
      <c r="J838" s="13" t="str">
        <f>HYPERLINK("http://www.ncbi.nlm.nih.gov/nuccore/NM_001039569", "NM_001039569")</f>
        <v>NM_001039569</v>
      </c>
      <c r="K838" s="12" t="s">
        <v>5445</v>
      </c>
      <c r="L838" s="13" t="str">
        <f>HYPERLINK("http://asia.ensembl.org/Homo_sapiens/Gene/Summary?g=ENSG00000152056", "ENSG00000152056")</f>
        <v>ENSG00000152056</v>
      </c>
      <c r="M838" s="12" t="s">
        <v>13758</v>
      </c>
      <c r="N838" s="12" t="s">
        <v>13759</v>
      </c>
    </row>
    <row r="839" spans="1:14">
      <c r="A839" s="12" t="s">
        <v>9113</v>
      </c>
      <c r="B839" s="8">
        <v>123.60561961084299</v>
      </c>
      <c r="C839" s="12">
        <v>49.999999999999901</v>
      </c>
      <c r="D839" s="8">
        <v>1.3057443354785001</v>
      </c>
      <c r="E839" s="12">
        <v>1.1281867576335E-3</v>
      </c>
      <c r="F839" s="8" t="s">
        <v>9114</v>
      </c>
      <c r="G839" s="12" t="s">
        <v>9115</v>
      </c>
      <c r="H839" s="12">
        <v>1</v>
      </c>
      <c r="I839" s="13" t="str">
        <f>HYPERLINK("http://www.ncbi.nlm.nih.gov/gene/23376", "23376")</f>
        <v>23376</v>
      </c>
      <c r="J839" s="13" t="str">
        <f>HYPERLINK("http://www.ncbi.nlm.nih.gov/nuccore/NM_015323", "NM_015323")</f>
        <v>NM_015323</v>
      </c>
      <c r="K839" s="12" t="s">
        <v>9116</v>
      </c>
      <c r="L839" s="13" t="str">
        <f>HYPERLINK("http://asia.ensembl.org/Homo_sapiens/Gene/Summary?g=ENSG00000014123", "ENSG00000014123")</f>
        <v>ENSG00000014123</v>
      </c>
      <c r="M839" s="12" t="s">
        <v>14993</v>
      </c>
      <c r="N839" s="12" t="s">
        <v>9117</v>
      </c>
    </row>
    <row r="840" spans="1:14">
      <c r="A840" s="12" t="s">
        <v>10573</v>
      </c>
      <c r="B840" s="8">
        <v>8042.9915692142504</v>
      </c>
      <c r="C840" s="12">
        <v>3253.87889132497</v>
      </c>
      <c r="D840" s="8">
        <v>1.30557165257814</v>
      </c>
      <c r="E840" s="12">
        <v>2.7961871523444798E-3</v>
      </c>
      <c r="F840" s="8" t="s">
        <v>8838</v>
      </c>
      <c r="G840" s="12" t="s">
        <v>8839</v>
      </c>
      <c r="H840" s="12">
        <v>1</v>
      </c>
      <c r="I840" s="13" t="str">
        <f>HYPERLINK("http://www.ncbi.nlm.nih.gov/gene/10762", "10762")</f>
        <v>10762</v>
      </c>
      <c r="J840" s="12" t="s">
        <v>14922</v>
      </c>
      <c r="K840" s="12" t="s">
        <v>14923</v>
      </c>
      <c r="L840" s="13" t="str">
        <f>HYPERLINK("http://asia.ensembl.org/Homo_sapiens/Gene/Summary?g=ENSG00000093000", "ENSG00000093000")</f>
        <v>ENSG00000093000</v>
      </c>
      <c r="M840" s="12" t="s">
        <v>14924</v>
      </c>
      <c r="N840" s="12" t="s">
        <v>14925</v>
      </c>
    </row>
    <row r="841" spans="1:14">
      <c r="A841" s="12" t="s">
        <v>2815</v>
      </c>
      <c r="B841" s="8">
        <v>626.49366533231</v>
      </c>
      <c r="C841" s="12">
        <v>253.46191001336101</v>
      </c>
      <c r="D841" s="8">
        <v>1.3055309652539999</v>
      </c>
      <c r="E841" s="12">
        <v>5.0142180927427102E-3</v>
      </c>
      <c r="F841" s="8" t="s">
        <v>2816</v>
      </c>
      <c r="G841" s="12" t="s">
        <v>2817</v>
      </c>
      <c r="H841" s="12">
        <v>1</v>
      </c>
      <c r="I841" s="13" t="str">
        <f>HYPERLINK("http://www.ncbi.nlm.nih.gov/gene/57560", "57560")</f>
        <v>57560</v>
      </c>
      <c r="J841" s="12" t="s">
        <v>12785</v>
      </c>
      <c r="K841" s="12" t="s">
        <v>12786</v>
      </c>
      <c r="L841" s="13" t="str">
        <f>HYPERLINK("http://asia.ensembl.org/Homo_sapiens/Gene/Summary?g=ENSG00000068885", "ENSG00000068885")</f>
        <v>ENSG00000068885</v>
      </c>
      <c r="M841" s="12" t="s">
        <v>12787</v>
      </c>
      <c r="N841" s="12" t="s">
        <v>12788</v>
      </c>
    </row>
    <row r="842" spans="1:14">
      <c r="A842" s="12" t="s">
        <v>7853</v>
      </c>
      <c r="B842" s="8">
        <v>1750.1915761600001</v>
      </c>
      <c r="C842" s="12">
        <v>708.28351485277199</v>
      </c>
      <c r="D842" s="8">
        <v>1.3051139788841399</v>
      </c>
      <c r="E842" s="12">
        <v>4.25484043594974E-3</v>
      </c>
      <c r="F842" s="8" t="s">
        <v>7854</v>
      </c>
      <c r="G842" s="12" t="s">
        <v>7855</v>
      </c>
      <c r="H842" s="12">
        <v>1</v>
      </c>
      <c r="I842" s="13" t="str">
        <f>HYPERLINK("http://www.ncbi.nlm.nih.gov/gene/51535", "51535")</f>
        <v>51535</v>
      </c>
      <c r="J842" s="12" t="s">
        <v>14579</v>
      </c>
      <c r="K842" s="12" t="s">
        <v>14580</v>
      </c>
      <c r="L842" s="13" t="str">
        <f>HYPERLINK("http://asia.ensembl.org/Homo_sapiens/Gene/Summary?g=ENSG00000134283", "ENSG00000134283")</f>
        <v>ENSG00000134283</v>
      </c>
      <c r="M842" s="12" t="s">
        <v>14581</v>
      </c>
      <c r="N842" s="12" t="s">
        <v>14582</v>
      </c>
    </row>
    <row r="843" spans="1:14">
      <c r="A843" s="12" t="s">
        <v>200</v>
      </c>
      <c r="B843" s="8">
        <v>439.80642323784099</v>
      </c>
      <c r="C843" s="12">
        <v>178.01277166812901</v>
      </c>
      <c r="D843" s="8">
        <v>1.3048879222549901</v>
      </c>
      <c r="E843" s="12">
        <v>4.1564440443940702E-5</v>
      </c>
      <c r="F843" s="8" t="s">
        <v>201</v>
      </c>
      <c r="G843" s="12" t="s">
        <v>202</v>
      </c>
      <c r="H843" s="12">
        <v>1</v>
      </c>
      <c r="I843" s="13" t="str">
        <f>HYPERLINK("http://www.ncbi.nlm.nih.gov/gene/8573", "8573")</f>
        <v>8573</v>
      </c>
      <c r="J843" s="12" t="s">
        <v>11894</v>
      </c>
      <c r="K843" s="12" t="s">
        <v>11895</v>
      </c>
      <c r="L843" s="13" t="str">
        <f>HYPERLINK("http://asia.ensembl.org/Homo_sapiens/Gene/Summary?g=ENSG00000147044", "ENSG00000147044")</f>
        <v>ENSG00000147044</v>
      </c>
      <c r="M843" s="12" t="s">
        <v>11896</v>
      </c>
      <c r="N843" s="12" t="s">
        <v>11897</v>
      </c>
    </row>
    <row r="844" spans="1:14">
      <c r="A844" s="12" t="s">
        <v>10612</v>
      </c>
      <c r="B844" s="8">
        <v>757.17088068848898</v>
      </c>
      <c r="C844" s="12">
        <v>306.57279981806698</v>
      </c>
      <c r="D844" s="8">
        <v>1.3043892270164299</v>
      </c>
      <c r="E844" s="12">
        <v>4.0845477449746896E-3</v>
      </c>
      <c r="F844" s="8" t="s">
        <v>3603</v>
      </c>
      <c r="G844" s="12" t="s">
        <v>614</v>
      </c>
      <c r="H844" s="12">
        <v>1</v>
      </c>
      <c r="I844" s="13" t="str">
        <f>HYPERLINK("http://www.ncbi.nlm.nih.gov/gene/80018", "80018")</f>
        <v>80018</v>
      </c>
      <c r="J844" s="13" t="str">
        <f>HYPERLINK("http://www.ncbi.nlm.nih.gov/nuccore/NM_024953", "NM_024953")</f>
        <v>NM_024953</v>
      </c>
      <c r="K844" s="12" t="s">
        <v>3604</v>
      </c>
      <c r="L844" s="13" t="str">
        <f>HYPERLINK("http://asia.ensembl.org/Homo_sapiens/Gene/Summary?g=ENSG00000111300", "ENSG00000111300")</f>
        <v>ENSG00000111300</v>
      </c>
      <c r="M844" s="12" t="s">
        <v>13055</v>
      </c>
      <c r="N844" s="12" t="s">
        <v>13056</v>
      </c>
    </row>
    <row r="845" spans="1:14">
      <c r="A845" s="12" t="s">
        <v>5852</v>
      </c>
      <c r="B845" s="8">
        <v>5276.1829416027304</v>
      </c>
      <c r="C845" s="12">
        <v>2136.58927703988</v>
      </c>
      <c r="D845" s="8">
        <v>1.3041849871025899</v>
      </c>
      <c r="E845" s="12">
        <v>2.6561385722982502E-3</v>
      </c>
      <c r="F845" s="8" t="s">
        <v>5853</v>
      </c>
      <c r="G845" s="12" t="s">
        <v>5854</v>
      </c>
      <c r="H845" s="12">
        <v>1</v>
      </c>
      <c r="I845" s="13" t="str">
        <f>HYPERLINK("http://www.ncbi.nlm.nih.gov/gene/23259", "23259")</f>
        <v>23259</v>
      </c>
      <c r="J845" s="12" t="s">
        <v>13935</v>
      </c>
      <c r="K845" s="12" t="s">
        <v>13936</v>
      </c>
      <c r="L845" s="13" t="str">
        <f>HYPERLINK("http://asia.ensembl.org/Homo_sapiens/Gene/Summary?g=ENSG00000085788", "ENSG00000085788")</f>
        <v>ENSG00000085788</v>
      </c>
      <c r="M845" s="12" t="s">
        <v>13937</v>
      </c>
      <c r="N845" s="12" t="s">
        <v>13938</v>
      </c>
    </row>
    <row r="846" spans="1:14">
      <c r="A846" s="12" t="s">
        <v>7263</v>
      </c>
      <c r="B846" s="8">
        <v>13229.275846938601</v>
      </c>
      <c r="C846" s="12">
        <v>5363.3643955436901</v>
      </c>
      <c r="D846" s="8">
        <v>1.30252391175011</v>
      </c>
      <c r="E846" s="12">
        <v>6.0886966237323299E-3</v>
      </c>
      <c r="F846" s="8" t="s">
        <v>7264</v>
      </c>
      <c r="G846" s="12" t="s">
        <v>7265</v>
      </c>
      <c r="H846" s="12">
        <v>1</v>
      </c>
      <c r="I846" s="13" t="str">
        <f>HYPERLINK("http://www.ncbi.nlm.nih.gov/gene/1983", "1983")</f>
        <v>1983</v>
      </c>
      <c r="J846" s="12" t="s">
        <v>14375</v>
      </c>
      <c r="K846" s="12" t="s">
        <v>14376</v>
      </c>
      <c r="L846" s="13" t="str">
        <f>HYPERLINK("http://asia.ensembl.org/Homo_sapiens/Gene/Summary?g=ENSG00000100664", "ENSG00000100664")</f>
        <v>ENSG00000100664</v>
      </c>
      <c r="M846" s="12" t="s">
        <v>14377</v>
      </c>
      <c r="N846" s="12" t="s">
        <v>14378</v>
      </c>
    </row>
    <row r="847" spans="1:14">
      <c r="A847" s="12" t="s">
        <v>6374</v>
      </c>
      <c r="B847" s="8">
        <v>4258.0313118940103</v>
      </c>
      <c r="C847" s="12">
        <v>1726.3888409735</v>
      </c>
      <c r="D847" s="8">
        <v>1.3024291141620501</v>
      </c>
      <c r="E847" s="12">
        <v>3.1382755119788901E-3</v>
      </c>
      <c r="F847" s="8" t="s">
        <v>6375</v>
      </c>
      <c r="G847" s="12" t="s">
        <v>14151</v>
      </c>
      <c r="H847" s="12">
        <v>1</v>
      </c>
      <c r="I847" s="13" t="str">
        <f>HYPERLINK("http://www.ncbi.nlm.nih.gov/gene/116496", "116496")</f>
        <v>116496</v>
      </c>
      <c r="J847" s="13" t="str">
        <f>HYPERLINK("http://www.ncbi.nlm.nih.gov/nuccore/NM_052966", "NM_052966")</f>
        <v>NM_052966</v>
      </c>
      <c r="K847" s="12" t="s">
        <v>6376</v>
      </c>
      <c r="L847" s="13" t="str">
        <f>HYPERLINK("http://asia.ensembl.org/Homo_sapiens/Gene/Summary?g=ENSG00000135842", "ENSG00000135842")</f>
        <v>ENSG00000135842</v>
      </c>
      <c r="M847" s="12" t="s">
        <v>14152</v>
      </c>
      <c r="N847" s="12" t="s">
        <v>14153</v>
      </c>
    </row>
    <row r="848" spans="1:14">
      <c r="A848" s="12" t="s">
        <v>11819</v>
      </c>
      <c r="B848" s="8">
        <v>2549.8727522051499</v>
      </c>
      <c r="C848" s="12">
        <v>1034.85221841768</v>
      </c>
      <c r="D848" s="8">
        <v>1.3010004941743001</v>
      </c>
      <c r="E848" s="12">
        <v>1.9270499749130299E-2</v>
      </c>
      <c r="F848" s="8" t="s">
        <v>7352</v>
      </c>
      <c r="G848" s="12" t="s">
        <v>16210</v>
      </c>
      <c r="H848" s="12">
        <v>1</v>
      </c>
      <c r="I848" s="13" t="str">
        <f>HYPERLINK("http://www.ncbi.nlm.nih.gov/gene/136853", "136853")</f>
        <v>136853</v>
      </c>
      <c r="J848" s="13" t="str">
        <f>HYPERLINK("http://www.ncbi.nlm.nih.gov/nuccore/NM_080744", "NM_080744")</f>
        <v>NM_080744</v>
      </c>
      <c r="K848" s="12" t="s">
        <v>7353</v>
      </c>
      <c r="L848" s="13" t="str">
        <f>HYPERLINK("http://asia.ensembl.org/Homo_sapiens/Gene/Summary?g=ENSG00000146700", "ENSG00000146700")</f>
        <v>ENSG00000146700</v>
      </c>
      <c r="M848" s="12" t="s">
        <v>16211</v>
      </c>
      <c r="N848" s="12" t="s">
        <v>7354</v>
      </c>
    </row>
    <row r="849" spans="1:14">
      <c r="A849" s="12" t="s">
        <v>5798</v>
      </c>
      <c r="B849" s="8">
        <v>4666.1028672418997</v>
      </c>
      <c r="C849" s="12">
        <v>1894.20445976575</v>
      </c>
      <c r="D849" s="8">
        <v>1.30062604960517</v>
      </c>
      <c r="E849" s="12">
        <v>3.2073505568944601E-3</v>
      </c>
      <c r="F849" s="8" t="s">
        <v>5799</v>
      </c>
      <c r="G849" s="12" t="s">
        <v>5800</v>
      </c>
      <c r="H849" s="12">
        <v>1</v>
      </c>
      <c r="I849" s="13" t="str">
        <f>HYPERLINK("http://www.ncbi.nlm.nih.gov/gene/29110", "29110")</f>
        <v>29110</v>
      </c>
      <c r="J849" s="13" t="str">
        <f>HYPERLINK("http://www.ncbi.nlm.nih.gov/nuccore/NM_013254", "NM_013254")</f>
        <v>NM_013254</v>
      </c>
      <c r="K849" s="12" t="s">
        <v>5801</v>
      </c>
      <c r="L849" s="13" t="str">
        <f>HYPERLINK("http://asia.ensembl.org/Homo_sapiens/Gene/Summary?g=ENSG00000183735", "ENSG00000183735")</f>
        <v>ENSG00000183735</v>
      </c>
      <c r="M849" s="12" t="s">
        <v>13913</v>
      </c>
      <c r="N849" s="12" t="s">
        <v>13914</v>
      </c>
    </row>
    <row r="850" spans="1:14">
      <c r="A850" s="12" t="s">
        <v>10312</v>
      </c>
      <c r="B850" s="8">
        <v>226.34326990144501</v>
      </c>
      <c r="C850" s="12">
        <v>91.899661413316096</v>
      </c>
      <c r="D850" s="8">
        <v>1.3003809587761901</v>
      </c>
      <c r="E850" s="12">
        <v>1.33547542400799E-2</v>
      </c>
      <c r="F850" s="8" t="s">
        <v>10313</v>
      </c>
      <c r="G850" s="12" t="s">
        <v>10314</v>
      </c>
      <c r="H850" s="12">
        <v>1</v>
      </c>
      <c r="I850" s="13" t="str">
        <f>HYPERLINK("http://www.ncbi.nlm.nih.gov/gene/29969", "29969")</f>
        <v>29969</v>
      </c>
      <c r="J850" s="12" t="s">
        <v>15387</v>
      </c>
      <c r="K850" s="12" t="s">
        <v>15388</v>
      </c>
      <c r="L850" s="13" t="str">
        <f>HYPERLINK("http://asia.ensembl.org/Homo_sapiens/Gene/Summary?g=ENSG00000135272", "ENSG00000135272")</f>
        <v>ENSG00000135272</v>
      </c>
      <c r="M850" s="12" t="s">
        <v>15389</v>
      </c>
      <c r="N850" s="12" t="s">
        <v>15390</v>
      </c>
    </row>
    <row r="851" spans="1:14">
      <c r="A851" s="12" t="s">
        <v>9181</v>
      </c>
      <c r="B851" s="8">
        <v>456.06200429286901</v>
      </c>
      <c r="C851" s="12">
        <v>185.18418452173501</v>
      </c>
      <c r="D851" s="8">
        <v>1.30026908867237</v>
      </c>
      <c r="E851" s="12">
        <v>1.59166818920537E-3</v>
      </c>
      <c r="F851" s="8" t="s">
        <v>9182</v>
      </c>
      <c r="G851" s="12" t="s">
        <v>9183</v>
      </c>
      <c r="H851" s="12">
        <v>1</v>
      </c>
      <c r="I851" s="13" t="str">
        <f>HYPERLINK("http://www.ncbi.nlm.nih.gov/gene/22881", "22881")</f>
        <v>22881</v>
      </c>
      <c r="J851" s="12" t="s">
        <v>15008</v>
      </c>
      <c r="K851" s="12" t="s">
        <v>15009</v>
      </c>
      <c r="L851" s="13" t="str">
        <f>HYPERLINK("http://asia.ensembl.org/Homo_sapiens/Gene/Summary?g=ENSG00000135299", "ENSG00000135299")</f>
        <v>ENSG00000135299</v>
      </c>
      <c r="M851" s="12" t="s">
        <v>15010</v>
      </c>
      <c r="N851" s="12" t="s">
        <v>15011</v>
      </c>
    </row>
    <row r="852" spans="1:14">
      <c r="A852" s="12" t="s">
        <v>7679</v>
      </c>
      <c r="B852" s="8">
        <v>4451.2824054382399</v>
      </c>
      <c r="C852" s="12">
        <v>1808.04270167607</v>
      </c>
      <c r="D852" s="8">
        <v>1.2997922822924499</v>
      </c>
      <c r="E852" s="12">
        <v>8.6656260819804301E-4</v>
      </c>
      <c r="F852" s="8" t="s">
        <v>2584</v>
      </c>
      <c r="G852" s="12" t="s">
        <v>456</v>
      </c>
      <c r="H852" s="12">
        <v>1</v>
      </c>
      <c r="I852" s="13" t="str">
        <f>HYPERLINK("http://www.ncbi.nlm.nih.gov/gene/9188", "9188")</f>
        <v>9188</v>
      </c>
      <c r="J852" s="12" t="s">
        <v>12704</v>
      </c>
      <c r="K852" s="12" t="s">
        <v>12705</v>
      </c>
      <c r="L852" s="13" t="str">
        <f>HYPERLINK("http://asia.ensembl.org/Homo_sapiens/Gene/Summary?g=ENSG00000165732", "ENSG00000165732")</f>
        <v>ENSG00000165732</v>
      </c>
      <c r="M852" s="12" t="s">
        <v>12706</v>
      </c>
      <c r="N852" s="12" t="s">
        <v>12707</v>
      </c>
    </row>
    <row r="853" spans="1:14">
      <c r="A853" s="12" t="s">
        <v>9969</v>
      </c>
      <c r="B853" s="8">
        <v>1559.51294570547</v>
      </c>
      <c r="C853" s="12">
        <v>633.74997010258596</v>
      </c>
      <c r="D853" s="8">
        <v>1.29910984957881</v>
      </c>
      <c r="E853" s="12">
        <v>3.55996786586536E-4</v>
      </c>
      <c r="F853" s="8" t="s">
        <v>5180</v>
      </c>
      <c r="G853" s="12" t="s">
        <v>15262</v>
      </c>
      <c r="H853" s="12">
        <v>1</v>
      </c>
      <c r="I853" s="13" t="str">
        <f>HYPERLINK("http://www.ncbi.nlm.nih.gov/gene/55504", "55504")</f>
        <v>55504</v>
      </c>
      <c r="J853" s="13" t="str">
        <f>HYPERLINK("http://www.ncbi.nlm.nih.gov/nuccore/NM_018647", "NM_018647")</f>
        <v>NM_018647</v>
      </c>
      <c r="K853" s="12" t="s">
        <v>9970</v>
      </c>
      <c r="L853" s="13" t="str">
        <f>HYPERLINK("http://asia.ensembl.org/Homo_sapiens/Gene/Summary?g=ENSG00000127863", "ENSG00000127863")</f>
        <v>ENSG00000127863</v>
      </c>
      <c r="M853" s="12" t="s">
        <v>15263</v>
      </c>
      <c r="N853" s="12" t="s">
        <v>15264</v>
      </c>
    </row>
    <row r="854" spans="1:14">
      <c r="A854" s="12" t="s">
        <v>511</v>
      </c>
      <c r="B854" s="8">
        <v>1233.1204596989401</v>
      </c>
      <c r="C854" s="12">
        <v>501.16969556902001</v>
      </c>
      <c r="D854" s="8">
        <v>1.2989426526278101</v>
      </c>
      <c r="E854" s="12">
        <v>1.27335085592836E-3</v>
      </c>
      <c r="F854" s="8" t="s">
        <v>512</v>
      </c>
      <c r="G854" s="12" t="s">
        <v>12001</v>
      </c>
      <c r="H854" s="12">
        <v>1</v>
      </c>
      <c r="I854" s="13" t="str">
        <f>HYPERLINK("http://www.ncbi.nlm.nih.gov/gene/57498", "57498")</f>
        <v>57498</v>
      </c>
      <c r="J854" s="13" t="str">
        <f>HYPERLINK("http://www.ncbi.nlm.nih.gov/nuccore/NM_020738", "NM_020738")</f>
        <v>NM_020738</v>
      </c>
      <c r="K854" s="12" t="s">
        <v>513</v>
      </c>
      <c r="L854" s="13" t="str">
        <f>HYPERLINK("http://asia.ensembl.org/Homo_sapiens/Gene/Summary?g=ENSG00000134313", "ENSG00000134313")</f>
        <v>ENSG00000134313</v>
      </c>
      <c r="M854" s="12" t="s">
        <v>12002</v>
      </c>
      <c r="N854" s="12" t="s">
        <v>12003</v>
      </c>
    </row>
    <row r="855" spans="1:14">
      <c r="A855" s="12" t="s">
        <v>10191</v>
      </c>
      <c r="B855" s="8">
        <v>5324.3064828992301</v>
      </c>
      <c r="C855" s="12">
        <v>2165.6830117773302</v>
      </c>
      <c r="D855" s="8">
        <v>1.29777152646206</v>
      </c>
      <c r="E855" s="12">
        <v>3.6626558806536601E-3</v>
      </c>
      <c r="F855" s="8" t="s">
        <v>422</v>
      </c>
      <c r="G855" s="12" t="s">
        <v>423</v>
      </c>
      <c r="H855" s="12">
        <v>1</v>
      </c>
      <c r="I855" s="13" t="str">
        <f>HYPERLINK("http://www.ncbi.nlm.nih.gov/gene/22902", "22902")</f>
        <v>22902</v>
      </c>
      <c r="J855" s="13" t="str">
        <f>HYPERLINK("http://www.ncbi.nlm.nih.gov/nuccore/NM_001037442", "NM_001037442")</f>
        <v>NM_001037442</v>
      </c>
      <c r="K855" s="12" t="s">
        <v>10192</v>
      </c>
      <c r="L855" s="13" t="str">
        <f>HYPERLINK("http://asia.ensembl.org/Homo_sapiens/Gene/Summary?g=ENSG00000018189", "ENSG00000018189")</f>
        <v>ENSG00000018189</v>
      </c>
      <c r="M855" s="12" t="s">
        <v>15307</v>
      </c>
      <c r="N855" s="12" t="s">
        <v>15308</v>
      </c>
    </row>
    <row r="856" spans="1:14">
      <c r="A856" s="12" t="s">
        <v>7999</v>
      </c>
      <c r="B856" s="8">
        <v>1538.5650508378001</v>
      </c>
      <c r="C856" s="12">
        <v>625.87132427748497</v>
      </c>
      <c r="D856" s="8">
        <v>1.29764745985146</v>
      </c>
      <c r="E856" s="12">
        <v>4.0690011756873198E-3</v>
      </c>
      <c r="F856" s="8" t="s">
        <v>5944</v>
      </c>
      <c r="G856" s="12" t="s">
        <v>5945</v>
      </c>
      <c r="H856" s="12">
        <v>1</v>
      </c>
      <c r="I856" s="13" t="str">
        <f>HYPERLINK("http://www.ncbi.nlm.nih.gov/gene/4140", "4140")</f>
        <v>4140</v>
      </c>
      <c r="J856" s="12" t="s">
        <v>13971</v>
      </c>
      <c r="K856" s="12" t="s">
        <v>13972</v>
      </c>
      <c r="L856" s="13" t="str">
        <f>HYPERLINK("http://asia.ensembl.org/Homo_sapiens/Gene/Summary?g=ENSG00000075413", "ENSG00000075413")</f>
        <v>ENSG00000075413</v>
      </c>
      <c r="M856" s="12" t="s">
        <v>13973</v>
      </c>
      <c r="N856" s="12" t="s">
        <v>13974</v>
      </c>
    </row>
    <row r="857" spans="1:14">
      <c r="A857" s="12" t="s">
        <v>8753</v>
      </c>
      <c r="B857" s="8">
        <v>2159.0244031826701</v>
      </c>
      <c r="C857" s="12">
        <v>878.526899076512</v>
      </c>
      <c r="D857" s="8">
        <v>1.29722118503658</v>
      </c>
      <c r="E857" s="12">
        <v>1.6858717548614999E-3</v>
      </c>
      <c r="F857" s="8" t="s">
        <v>5050</v>
      </c>
      <c r="G857" s="12" t="s">
        <v>5051</v>
      </c>
      <c r="H857" s="12">
        <v>1</v>
      </c>
      <c r="I857" s="13" t="str">
        <f>HYPERLINK("http://www.ncbi.nlm.nih.gov/gene/2932", "2932")</f>
        <v>2932</v>
      </c>
      <c r="J857" s="12" t="s">
        <v>14853</v>
      </c>
      <c r="K857" s="12" t="s">
        <v>14854</v>
      </c>
      <c r="L857" s="13" t="str">
        <f>HYPERLINK("http://asia.ensembl.org/Homo_sapiens/Gene/Summary?g=ENSG00000082701", "ENSG00000082701")</f>
        <v>ENSG00000082701</v>
      </c>
      <c r="M857" s="12" t="s">
        <v>14855</v>
      </c>
      <c r="N857" s="12" t="s">
        <v>14856</v>
      </c>
    </row>
    <row r="858" spans="1:14">
      <c r="A858" s="12" t="s">
        <v>1512</v>
      </c>
      <c r="B858" s="8">
        <v>1000.09558775649</v>
      </c>
      <c r="C858" s="12">
        <v>407.08966115940501</v>
      </c>
      <c r="D858" s="8">
        <v>1.2967194104068001</v>
      </c>
      <c r="E858" s="12">
        <v>2.16286260698784E-3</v>
      </c>
      <c r="F858" s="8" t="s">
        <v>1513</v>
      </c>
      <c r="G858" s="12" t="s">
        <v>1514</v>
      </c>
      <c r="H858" s="12">
        <v>1</v>
      </c>
      <c r="I858" s="13" t="str">
        <f>HYPERLINK("http://www.ncbi.nlm.nih.gov/gene/2823", "2823")</f>
        <v>2823</v>
      </c>
      <c r="J858" s="12" t="s">
        <v>12344</v>
      </c>
      <c r="K858" s="12" t="s">
        <v>12345</v>
      </c>
      <c r="L858" s="13" t="str">
        <f>HYPERLINK("http://asia.ensembl.org/Homo_sapiens/Gene/Summary?g=ENSG00000150625", "ENSG00000150625")</f>
        <v>ENSG00000150625</v>
      </c>
      <c r="M858" s="12" t="s">
        <v>12346</v>
      </c>
      <c r="N858" s="12" t="s">
        <v>12347</v>
      </c>
    </row>
    <row r="859" spans="1:14">
      <c r="A859" s="12" t="s">
        <v>3446</v>
      </c>
      <c r="B859" s="8">
        <v>1719.3627672473499</v>
      </c>
      <c r="C859" s="12">
        <v>700.14550100986605</v>
      </c>
      <c r="D859" s="8">
        <v>1.2961472976744599</v>
      </c>
      <c r="E859" s="12">
        <v>4.5318302850748697E-3</v>
      </c>
      <c r="F859" s="8" t="s">
        <v>3447</v>
      </c>
      <c r="G859" s="12" t="s">
        <v>3448</v>
      </c>
      <c r="H859" s="12">
        <v>1</v>
      </c>
      <c r="I859" s="13" t="str">
        <f>HYPERLINK("http://www.ncbi.nlm.nih.gov/gene/80224", "80224")</f>
        <v>80224</v>
      </c>
      <c r="J859" s="12" t="s">
        <v>12989</v>
      </c>
      <c r="K859" s="12" t="s">
        <v>12990</v>
      </c>
      <c r="L859" s="13" t="str">
        <f>HYPERLINK("http://asia.ensembl.org/Homo_sapiens/Gene/Summary?g=ENSG00000151413", "ENSG00000151413")</f>
        <v>ENSG00000151413</v>
      </c>
      <c r="M859" s="12" t="s">
        <v>12991</v>
      </c>
      <c r="N859" s="12" t="s">
        <v>12992</v>
      </c>
    </row>
    <row r="860" spans="1:14">
      <c r="A860" s="12" t="s">
        <v>2860</v>
      </c>
      <c r="B860" s="8">
        <v>165.719449860015</v>
      </c>
      <c r="C860" s="12">
        <v>67.483122598340998</v>
      </c>
      <c r="D860" s="8">
        <v>1.29614429903314</v>
      </c>
      <c r="E860" s="12">
        <v>5.0760232674909997E-3</v>
      </c>
      <c r="F860" s="8" t="s">
        <v>2861</v>
      </c>
      <c r="G860" s="12" t="s">
        <v>2862</v>
      </c>
      <c r="H860" s="12">
        <v>1</v>
      </c>
      <c r="I860" s="13" t="str">
        <f>HYPERLINK("http://www.ncbi.nlm.nih.gov/gene/26032", "26032")</f>
        <v>26032</v>
      </c>
      <c r="J860" s="13" t="str">
        <f>HYPERLINK("http://www.ncbi.nlm.nih.gov/nuccore/NM_015551", "NM_015551")</f>
        <v>NM_015551</v>
      </c>
      <c r="K860" s="12" t="s">
        <v>2863</v>
      </c>
      <c r="L860" s="13" t="str">
        <f>HYPERLINK("http://asia.ensembl.org/Homo_sapiens/Gene/Summary?g=ENSG00000173705", "ENSG00000173705")</f>
        <v>ENSG00000173705</v>
      </c>
      <c r="M860" s="12" t="s">
        <v>12814</v>
      </c>
      <c r="N860" s="12" t="s">
        <v>12815</v>
      </c>
    </row>
    <row r="861" spans="1:14">
      <c r="A861" s="12" t="s">
        <v>7967</v>
      </c>
      <c r="B861" s="8">
        <v>5793.3086479718704</v>
      </c>
      <c r="C861" s="12">
        <v>2359.4891755006602</v>
      </c>
      <c r="D861" s="8">
        <v>1.29591297607292</v>
      </c>
      <c r="E861" s="12">
        <v>3.5166198449199299E-3</v>
      </c>
      <c r="F861" s="8" t="s">
        <v>7968</v>
      </c>
      <c r="G861" s="12" t="s">
        <v>7969</v>
      </c>
      <c r="H861" s="12">
        <v>1</v>
      </c>
      <c r="I861" s="13" t="str">
        <f>HYPERLINK("http://www.ncbi.nlm.nih.gov/gene/81688", "81688")</f>
        <v>81688</v>
      </c>
      <c r="J861" s="13" t="str">
        <f>HYPERLINK("http://www.ncbi.nlm.nih.gov/nuccore/NM_030939", "NM_030939")</f>
        <v>NM_030939</v>
      </c>
      <c r="K861" s="12" t="s">
        <v>7970</v>
      </c>
      <c r="L861" s="13" t="str">
        <f>HYPERLINK("http://asia.ensembl.org/Homo_sapiens/Gene/Summary?g=ENSG00000112308", "ENSG00000112308")</f>
        <v>ENSG00000112308</v>
      </c>
      <c r="M861" s="12" t="s">
        <v>14622</v>
      </c>
      <c r="N861" s="12" t="s">
        <v>14623</v>
      </c>
    </row>
    <row r="862" spans="1:14">
      <c r="A862" s="12" t="s">
        <v>4539</v>
      </c>
      <c r="B862" s="8">
        <v>1748.9969705334199</v>
      </c>
      <c r="C862" s="12">
        <v>712.40483157962694</v>
      </c>
      <c r="D862" s="8">
        <v>1.2957585843013</v>
      </c>
      <c r="E862" s="12">
        <v>1.4490600810256301E-3</v>
      </c>
      <c r="F862" s="8" t="s">
        <v>4540</v>
      </c>
      <c r="G862" s="12" t="s">
        <v>13277</v>
      </c>
      <c r="H862" s="12">
        <v>1</v>
      </c>
      <c r="I862" s="13" t="str">
        <f>HYPERLINK("http://www.ncbi.nlm.nih.gov/gene/8500", "8500")</f>
        <v>8500</v>
      </c>
      <c r="J862" s="12" t="s">
        <v>13278</v>
      </c>
      <c r="K862" s="12" t="s">
        <v>13279</v>
      </c>
      <c r="L862" s="13" t="str">
        <f>HYPERLINK("http://asia.ensembl.org/Homo_sapiens/Gene/Summary?g=ENSG00000131626", "ENSG00000131626")</f>
        <v>ENSG00000131626</v>
      </c>
      <c r="M862" s="12" t="s">
        <v>13280</v>
      </c>
      <c r="N862" s="12" t="s">
        <v>13281</v>
      </c>
    </row>
    <row r="863" spans="1:14">
      <c r="A863" s="12" t="s">
        <v>3946</v>
      </c>
      <c r="B863" s="8">
        <v>260.017633953006</v>
      </c>
      <c r="C863" s="12">
        <v>106.005062900917</v>
      </c>
      <c r="D863" s="8">
        <v>1.2944762967936401</v>
      </c>
      <c r="E863" s="12">
        <v>1.7629477486579101E-2</v>
      </c>
      <c r="F863" s="8" t="s">
        <v>3947</v>
      </c>
      <c r="G863" s="12" t="s">
        <v>3948</v>
      </c>
      <c r="H863" s="12">
        <v>1</v>
      </c>
      <c r="I863" s="13" t="str">
        <f>HYPERLINK("http://www.ncbi.nlm.nih.gov/gene/253782", "253782")</f>
        <v>253782</v>
      </c>
      <c r="J863" s="12" t="s">
        <v>13130</v>
      </c>
      <c r="K863" s="12" t="s">
        <v>13131</v>
      </c>
      <c r="L863" s="13" t="str">
        <f>HYPERLINK("http://asia.ensembl.org/Homo_sapiens/Gene/Summary?g=ENSG00000172292", "ENSG00000172292")</f>
        <v>ENSG00000172292</v>
      </c>
      <c r="M863" s="12" t="s">
        <v>13132</v>
      </c>
      <c r="N863" s="12" t="s">
        <v>13133</v>
      </c>
    </row>
    <row r="864" spans="1:14">
      <c r="A864" s="12" t="s">
        <v>6003</v>
      </c>
      <c r="B864" s="8">
        <v>5477.6915994824103</v>
      </c>
      <c r="C864" s="12">
        <v>2234.0592321292202</v>
      </c>
      <c r="D864" s="8">
        <v>1.29390060605646</v>
      </c>
      <c r="E864" s="12">
        <v>3.7301343472019399E-3</v>
      </c>
      <c r="F864" s="8" t="s">
        <v>6004</v>
      </c>
      <c r="G864" s="12" t="s">
        <v>6005</v>
      </c>
      <c r="H864" s="12">
        <v>1</v>
      </c>
      <c r="I864" s="13" t="str">
        <f>HYPERLINK("http://www.ncbi.nlm.nih.gov/gene/2037", "2037")</f>
        <v>2037</v>
      </c>
      <c r="J864" s="12" t="s">
        <v>14000</v>
      </c>
      <c r="K864" s="12" t="s">
        <v>14001</v>
      </c>
      <c r="L864" s="13" t="str">
        <f>HYPERLINK("http://asia.ensembl.org/Homo_sapiens/Gene/Summary?g=ENSG00000079819", "ENSG00000079819")</f>
        <v>ENSG00000079819</v>
      </c>
      <c r="M864" s="12" t="s">
        <v>14002</v>
      </c>
      <c r="N864" s="12" t="s">
        <v>14003</v>
      </c>
    </row>
    <row r="865" spans="1:14">
      <c r="A865" s="12" t="s">
        <v>6476</v>
      </c>
      <c r="B865" s="8">
        <v>1570.6498340656501</v>
      </c>
      <c r="C865" s="12">
        <v>640.70900774933102</v>
      </c>
      <c r="D865" s="8">
        <v>1.2936203985610899</v>
      </c>
      <c r="E865" s="12">
        <v>6.7234083387562003E-3</v>
      </c>
      <c r="F865" s="8" t="s">
        <v>6477</v>
      </c>
      <c r="G865" s="12" t="s">
        <v>6478</v>
      </c>
      <c r="H865" s="12">
        <v>1</v>
      </c>
      <c r="I865" s="13" t="str">
        <f>HYPERLINK("http://www.ncbi.nlm.nih.gov/gene/996", "996")</f>
        <v>996</v>
      </c>
      <c r="J865" s="12" t="s">
        <v>14203</v>
      </c>
      <c r="K865" s="12" t="s">
        <v>14204</v>
      </c>
      <c r="L865" s="13" t="str">
        <f>HYPERLINK("http://asia.ensembl.org/Homo_sapiens/Gene/Summary?g=ENSG00000004897", "ENSG00000004897")</f>
        <v>ENSG00000004897</v>
      </c>
      <c r="M865" s="12" t="s">
        <v>14205</v>
      </c>
      <c r="N865" s="12" t="s">
        <v>14206</v>
      </c>
    </row>
    <row r="866" spans="1:14">
      <c r="A866" s="12" t="s">
        <v>10547</v>
      </c>
      <c r="B866" s="8">
        <v>5623.9545120864896</v>
      </c>
      <c r="C866" s="12">
        <v>2294.91380967856</v>
      </c>
      <c r="D866" s="8">
        <v>1.29314495438303</v>
      </c>
      <c r="E866" s="12">
        <v>4.6938287657215198E-3</v>
      </c>
      <c r="F866" s="8" t="s">
        <v>6637</v>
      </c>
      <c r="G866" s="12" t="s">
        <v>15553</v>
      </c>
      <c r="H866" s="12">
        <v>1</v>
      </c>
      <c r="I866" s="13" t="str">
        <f>HYPERLINK("http://www.ncbi.nlm.nih.gov/gene/5529", "5529")</f>
        <v>5529</v>
      </c>
      <c r="J866" s="13" t="str">
        <f>HYPERLINK("http://www.ncbi.nlm.nih.gov/nuccore/NM_006246", "NM_006246")</f>
        <v>NM_006246</v>
      </c>
      <c r="K866" s="12" t="s">
        <v>6638</v>
      </c>
      <c r="L866" s="13" t="str">
        <f>HYPERLINK("http://asia.ensembl.org/Homo_sapiens/Gene/Summary?g=ENSG00000154001", "ENSG00000154001")</f>
        <v>ENSG00000154001</v>
      </c>
      <c r="M866" s="12" t="s">
        <v>15554</v>
      </c>
      <c r="N866" s="12" t="s">
        <v>15555</v>
      </c>
    </row>
    <row r="867" spans="1:14">
      <c r="A867" s="12" t="s">
        <v>8951</v>
      </c>
      <c r="B867" s="8">
        <v>190.066356824575</v>
      </c>
      <c r="C867" s="12">
        <v>77.577960285035701</v>
      </c>
      <c r="D867" s="8">
        <v>1.29278443721877</v>
      </c>
      <c r="E867" s="12">
        <v>3.3902171148436598E-2</v>
      </c>
      <c r="F867" s="8" t="s">
        <v>8952</v>
      </c>
      <c r="G867" s="12" t="s">
        <v>14942</v>
      </c>
      <c r="H867" s="12">
        <v>1</v>
      </c>
      <c r="I867" s="13" t="str">
        <f>HYPERLINK("http://www.ncbi.nlm.nih.gov/gene/79158", "79158")</f>
        <v>79158</v>
      </c>
      <c r="J867" s="13" t="str">
        <f>HYPERLINK("http://www.ncbi.nlm.nih.gov/nuccore/NM_024312", "NM_024312")</f>
        <v>NM_024312</v>
      </c>
      <c r="K867" s="12" t="s">
        <v>8953</v>
      </c>
      <c r="L867" s="13" t="str">
        <f>HYPERLINK("http://asia.ensembl.org/Homo_sapiens/Gene/Summary?g=ENSG00000111670", "ENSG00000111670")</f>
        <v>ENSG00000111670</v>
      </c>
      <c r="M867" s="12" t="s">
        <v>14943</v>
      </c>
      <c r="N867" s="12" t="s">
        <v>14944</v>
      </c>
    </row>
    <row r="868" spans="1:14">
      <c r="A868" s="12" t="s">
        <v>6256</v>
      </c>
      <c r="B868" s="8">
        <v>627.48442570524696</v>
      </c>
      <c r="C868" s="12">
        <v>256.191278588253</v>
      </c>
      <c r="D868" s="8">
        <v>1.29235828805884</v>
      </c>
      <c r="E868" s="12">
        <v>5.7527726771369999E-3</v>
      </c>
      <c r="F868" s="8" t="s">
        <v>6257</v>
      </c>
      <c r="G868" s="12" t="s">
        <v>6258</v>
      </c>
      <c r="H868" s="12">
        <v>1</v>
      </c>
      <c r="I868" s="13" t="str">
        <f>HYPERLINK("http://www.ncbi.nlm.nih.gov/gene/50484", "50484")</f>
        <v>50484</v>
      </c>
      <c r="J868" s="12" t="s">
        <v>14104</v>
      </c>
      <c r="K868" s="12" t="s">
        <v>14105</v>
      </c>
      <c r="L868" s="13" t="str">
        <f>HYPERLINK("http://asia.ensembl.org/Homo_sapiens/Gene/Summary?g=ENSG00000048392", "ENSG00000048392")</f>
        <v>ENSG00000048392</v>
      </c>
      <c r="M868" s="12" t="s">
        <v>14106</v>
      </c>
      <c r="N868" s="12" t="s">
        <v>14107</v>
      </c>
    </row>
    <row r="869" spans="1:14">
      <c r="A869" s="12" t="s">
        <v>7288</v>
      </c>
      <c r="B869" s="8">
        <v>7681.68867390382</v>
      </c>
      <c r="C869" s="12">
        <v>3137.4239509979702</v>
      </c>
      <c r="D869" s="8">
        <v>1.2918430054673999</v>
      </c>
      <c r="E869" s="12">
        <v>6.5397787348149604E-4</v>
      </c>
      <c r="F869" s="8" t="s">
        <v>7289</v>
      </c>
      <c r="G869" s="12" t="s">
        <v>7290</v>
      </c>
      <c r="H869" s="12">
        <v>1</v>
      </c>
      <c r="I869" s="13" t="str">
        <f>HYPERLINK("http://www.ncbi.nlm.nih.gov/gene/54878", "54878")</f>
        <v>54878</v>
      </c>
      <c r="J869" s="12" t="s">
        <v>14386</v>
      </c>
      <c r="K869" s="12" t="s">
        <v>14387</v>
      </c>
      <c r="L869" s="13" t="str">
        <f>HYPERLINK("http://asia.ensembl.org/Homo_sapiens/Gene/Summary?g=ENSG00000074603", "ENSG00000074603")</f>
        <v>ENSG00000074603</v>
      </c>
      <c r="M869" s="12" t="s">
        <v>14388</v>
      </c>
      <c r="N869" s="12" t="s">
        <v>14389</v>
      </c>
    </row>
    <row r="870" spans="1:14">
      <c r="A870" s="12" t="s">
        <v>2240</v>
      </c>
      <c r="B870" s="8">
        <v>681.32752578469103</v>
      </c>
      <c r="C870" s="12">
        <v>278.66271426447702</v>
      </c>
      <c r="D870" s="8">
        <v>1.2898285138273</v>
      </c>
      <c r="E870" s="12">
        <v>9.4934838175437207E-3</v>
      </c>
      <c r="F870" s="8" t="s">
        <v>651</v>
      </c>
      <c r="G870" s="12" t="s">
        <v>12575</v>
      </c>
      <c r="H870" s="12">
        <v>1</v>
      </c>
      <c r="I870" s="13" t="str">
        <f>HYPERLINK("http://www.ncbi.nlm.nih.gov/gene/2055", "2055")</f>
        <v>2055</v>
      </c>
      <c r="J870" s="13" t="str">
        <f>HYPERLINK("http://www.ncbi.nlm.nih.gov/nuccore/NM_018941", "NM_018941")</f>
        <v>NM_018941</v>
      </c>
      <c r="K870" s="12" t="s">
        <v>652</v>
      </c>
      <c r="L870" s="13" t="str">
        <f>HYPERLINK("http://asia.ensembl.org/Homo_sapiens/Gene/Summary?g=ENSG00000182372", "ENSG00000182372")</f>
        <v>ENSG00000182372</v>
      </c>
      <c r="M870" s="12" t="s">
        <v>12576</v>
      </c>
      <c r="N870" s="12" t="s">
        <v>12577</v>
      </c>
    </row>
    <row r="871" spans="1:14">
      <c r="A871" s="12" t="s">
        <v>11269</v>
      </c>
      <c r="B871" s="8">
        <v>79893.342409770499</v>
      </c>
      <c r="C871" s="12">
        <v>32683.920878510598</v>
      </c>
      <c r="D871" s="8">
        <v>1.2894942223208701</v>
      </c>
      <c r="E871" s="12">
        <v>5.8923236423020098E-3</v>
      </c>
      <c r="F871" s="8" t="s">
        <v>9726</v>
      </c>
      <c r="G871" s="12" t="s">
        <v>16077</v>
      </c>
      <c r="H871" s="12">
        <v>1</v>
      </c>
      <c r="I871" s="13" t="str">
        <f>HYPERLINK("http://www.ncbi.nlm.nih.gov/gene/7534", "7534")</f>
        <v>7534</v>
      </c>
      <c r="J871" s="12" t="s">
        <v>16078</v>
      </c>
      <c r="K871" s="12" t="s">
        <v>16079</v>
      </c>
      <c r="L871" s="13" t="str">
        <f>HYPERLINK("http://asia.ensembl.org/Homo_sapiens/Gene/Summary?g=ENSG00000164924", "ENSG00000164924")</f>
        <v>ENSG00000164924</v>
      </c>
      <c r="M871" s="12" t="s">
        <v>16080</v>
      </c>
      <c r="N871" s="12" t="s">
        <v>16081</v>
      </c>
    </row>
    <row r="872" spans="1:14">
      <c r="A872" s="12" t="s">
        <v>7743</v>
      </c>
      <c r="B872" s="8">
        <v>8700.9128802734904</v>
      </c>
      <c r="C872" s="12">
        <v>3562.4535016058398</v>
      </c>
      <c r="D872" s="8">
        <v>1.2882955895064301</v>
      </c>
      <c r="E872" s="12">
        <v>3.5844674271194501E-3</v>
      </c>
      <c r="F872" s="8" t="s">
        <v>7744</v>
      </c>
      <c r="G872" s="12" t="s">
        <v>7745</v>
      </c>
      <c r="H872" s="12">
        <v>1</v>
      </c>
      <c r="I872" s="13" t="str">
        <f>HYPERLINK("http://www.ncbi.nlm.nih.gov/gene/55573", "55573")</f>
        <v>55573</v>
      </c>
      <c r="J872" s="12" t="s">
        <v>14531</v>
      </c>
      <c r="K872" s="12" t="s">
        <v>14532</v>
      </c>
      <c r="L872" s="13" t="str">
        <f>HYPERLINK("http://asia.ensembl.org/Homo_sapiens/Gene/Summary?g=ENSG00000091527", "ENSG00000091527")</f>
        <v>ENSG00000091527</v>
      </c>
      <c r="M872" s="12" t="s">
        <v>14533</v>
      </c>
      <c r="N872" s="12" t="s">
        <v>14534</v>
      </c>
    </row>
    <row r="873" spans="1:14">
      <c r="A873" s="12" t="s">
        <v>2716</v>
      </c>
      <c r="B873" s="8">
        <v>286.51673088042202</v>
      </c>
      <c r="C873" s="12">
        <v>117.333665848766</v>
      </c>
      <c r="D873" s="8">
        <v>1.28800236964476</v>
      </c>
      <c r="E873" s="12">
        <v>5.6623319932845697E-3</v>
      </c>
      <c r="F873" s="8" t="s">
        <v>2717</v>
      </c>
      <c r="G873" s="12" t="s">
        <v>12756</v>
      </c>
      <c r="H873" s="12">
        <v>1</v>
      </c>
      <c r="I873" s="13" t="str">
        <f>HYPERLINK("http://www.ncbi.nlm.nih.gov/gene/2977", "2977")</f>
        <v>2977</v>
      </c>
      <c r="J873" s="12" t="s">
        <v>12757</v>
      </c>
      <c r="K873" s="12" t="s">
        <v>12758</v>
      </c>
      <c r="L873" s="13" t="str">
        <f>HYPERLINK("http://asia.ensembl.org/Homo_sapiens/Gene/Summary?g=ENSG00000152402", "ENSG00000152402")</f>
        <v>ENSG00000152402</v>
      </c>
      <c r="M873" s="12" t="s">
        <v>12759</v>
      </c>
      <c r="N873" s="12" t="s">
        <v>12760</v>
      </c>
    </row>
    <row r="874" spans="1:14">
      <c r="A874" s="12" t="s">
        <v>11158</v>
      </c>
      <c r="B874" s="8">
        <v>296.42175640304902</v>
      </c>
      <c r="C874" s="12">
        <v>121.411179672584</v>
      </c>
      <c r="D874" s="8">
        <v>1.28775006807526</v>
      </c>
      <c r="E874" s="12">
        <v>4.4804142450146202E-4</v>
      </c>
      <c r="F874" s="8" t="s">
        <v>38</v>
      </c>
      <c r="G874" s="12" t="s">
        <v>38</v>
      </c>
      <c r="H874" s="12">
        <v>1</v>
      </c>
      <c r="I874" s="12" t="s">
        <v>38</v>
      </c>
      <c r="J874" s="12" t="s">
        <v>38</v>
      </c>
      <c r="K874" s="12" t="s">
        <v>38</v>
      </c>
      <c r="L874" s="13" t="str">
        <f>HYPERLINK("http://asia.ensembl.org/Homo_sapiens/Gene/Summary?g=ENSG00000189362", "ENSG00000189362")</f>
        <v>ENSG00000189362</v>
      </c>
      <c r="M874" s="12" t="s">
        <v>11159</v>
      </c>
      <c r="N874" s="12" t="s">
        <v>16001</v>
      </c>
    </row>
    <row r="875" spans="1:14">
      <c r="A875" s="12" t="s">
        <v>3065</v>
      </c>
      <c r="B875" s="8">
        <v>2352.1024057099698</v>
      </c>
      <c r="C875" s="12">
        <v>963.53879063327804</v>
      </c>
      <c r="D875" s="8">
        <v>1.28753621997057</v>
      </c>
      <c r="E875" s="12">
        <v>4.9901629954400397E-3</v>
      </c>
      <c r="F875" s="8" t="s">
        <v>2813</v>
      </c>
      <c r="G875" s="12" t="s">
        <v>2814</v>
      </c>
      <c r="H875" s="12">
        <v>1</v>
      </c>
      <c r="I875" s="13" t="str">
        <f>HYPERLINK("http://www.ncbi.nlm.nih.gov/gene/84056", "84056")</f>
        <v>84056</v>
      </c>
      <c r="J875" s="12" t="s">
        <v>12885</v>
      </c>
      <c r="K875" s="12" t="s">
        <v>12886</v>
      </c>
      <c r="L875" s="13" t="str">
        <f>HYPERLINK("http://asia.ensembl.org/Homo_sapiens/Gene/Summary?g=ENSG00000102781", "ENSG00000102781")</f>
        <v>ENSG00000102781</v>
      </c>
      <c r="M875" s="12" t="s">
        <v>12887</v>
      </c>
      <c r="N875" s="12" t="s">
        <v>12888</v>
      </c>
    </row>
    <row r="876" spans="1:14">
      <c r="A876" s="12" t="s">
        <v>4926</v>
      </c>
      <c r="B876" s="8">
        <v>5715.3730966299299</v>
      </c>
      <c r="C876" s="12">
        <v>2341.4055859476198</v>
      </c>
      <c r="D876" s="8">
        <v>1.28747281544794</v>
      </c>
      <c r="E876" s="12">
        <v>4.7743806330905504E-3</v>
      </c>
      <c r="F876" s="8" t="s">
        <v>4927</v>
      </c>
      <c r="G876" s="12" t="s">
        <v>13483</v>
      </c>
      <c r="H876" s="12">
        <v>1</v>
      </c>
      <c r="I876" s="13" t="str">
        <f>HYPERLINK("http://www.ncbi.nlm.nih.gov/gene/54477", "54477")</f>
        <v>54477</v>
      </c>
      <c r="J876" s="12" t="s">
        <v>13484</v>
      </c>
      <c r="K876" s="12" t="s">
        <v>13485</v>
      </c>
      <c r="L876" s="13" t="str">
        <f>HYPERLINK("http://asia.ensembl.org/Homo_sapiens/Gene/Summary?g=ENSG00000052126", "ENSG00000052126")</f>
        <v>ENSG00000052126</v>
      </c>
      <c r="M876" s="12" t="s">
        <v>13486</v>
      </c>
      <c r="N876" s="12" t="s">
        <v>13487</v>
      </c>
    </row>
    <row r="877" spans="1:14">
      <c r="A877" s="12" t="s">
        <v>8851</v>
      </c>
      <c r="B877" s="8">
        <v>1671.11541739271</v>
      </c>
      <c r="C877" s="12">
        <v>685.11114840784796</v>
      </c>
      <c r="D877" s="8">
        <v>1.28640141159108</v>
      </c>
      <c r="E877" s="12">
        <v>7.6780796372966798E-3</v>
      </c>
      <c r="F877" s="8" t="s">
        <v>8852</v>
      </c>
      <c r="G877" s="12" t="s">
        <v>8853</v>
      </c>
      <c r="H877" s="12">
        <v>1</v>
      </c>
      <c r="I877" s="13" t="str">
        <f>HYPERLINK("http://www.ncbi.nlm.nih.gov/gene/55827", "55827")</f>
        <v>55827</v>
      </c>
      <c r="J877" s="12" t="s">
        <v>14926</v>
      </c>
      <c r="K877" s="12" t="s">
        <v>14927</v>
      </c>
      <c r="L877" s="13" t="str">
        <f>HYPERLINK("http://asia.ensembl.org/Homo_sapiens/Gene/Summary?g=ENSG00000143164", "ENSG00000143164")</f>
        <v>ENSG00000143164</v>
      </c>
      <c r="M877" s="12" t="s">
        <v>14928</v>
      </c>
      <c r="N877" s="12" t="s">
        <v>14929</v>
      </c>
    </row>
    <row r="878" spans="1:14">
      <c r="A878" s="12" t="s">
        <v>10365</v>
      </c>
      <c r="B878" s="8">
        <v>160.419337073907</v>
      </c>
      <c r="C878" s="12">
        <v>65.769915758862396</v>
      </c>
      <c r="D878" s="8">
        <v>1.28634832836153</v>
      </c>
      <c r="E878" s="12">
        <v>2.1655430093308298E-2</v>
      </c>
      <c r="F878" s="8" t="s">
        <v>7623</v>
      </c>
      <c r="G878" s="12" t="s">
        <v>7624</v>
      </c>
      <c r="H878" s="12">
        <v>1</v>
      </c>
      <c r="I878" s="13" t="str">
        <f>HYPERLINK("http://www.ncbi.nlm.nih.gov/gene/340252", "340252")</f>
        <v>340252</v>
      </c>
      <c r="J878" s="13" t="str">
        <f>HYPERLINK("http://www.ncbi.nlm.nih.gov/nuccore/NM_001130022", "NM_001130022")</f>
        <v>NM_001130022</v>
      </c>
      <c r="K878" s="12" t="s">
        <v>10366</v>
      </c>
      <c r="L878" s="13" t="str">
        <f>HYPERLINK("http://asia.ensembl.org/Homo_sapiens/Gene/Summary?g=ENSG00000173041", "ENSG00000173041")</f>
        <v>ENSG00000173041</v>
      </c>
      <c r="M878" s="12" t="s">
        <v>15417</v>
      </c>
      <c r="N878" s="12" t="s">
        <v>15418</v>
      </c>
    </row>
    <row r="879" spans="1:14">
      <c r="A879" s="12" t="s">
        <v>10577</v>
      </c>
      <c r="B879" s="8">
        <v>7456.5306066200201</v>
      </c>
      <c r="C879" s="12">
        <v>3057.57073120409</v>
      </c>
      <c r="D879" s="8">
        <v>1.28611865260383</v>
      </c>
      <c r="E879" s="12">
        <v>6.4978480466960998E-3</v>
      </c>
      <c r="F879" s="8" t="s">
        <v>5931</v>
      </c>
      <c r="G879" s="12" t="s">
        <v>15590</v>
      </c>
      <c r="H879" s="12">
        <v>1</v>
      </c>
      <c r="I879" s="13" t="str">
        <f>HYPERLINK("http://www.ncbi.nlm.nih.gov/gene/11099", "11099")</f>
        <v>11099</v>
      </c>
      <c r="J879" s="13" t="str">
        <f>HYPERLINK("http://www.ncbi.nlm.nih.gov/nuccore/NM_007039", "NM_007039")</f>
        <v>NM_007039</v>
      </c>
      <c r="K879" s="12" t="s">
        <v>5932</v>
      </c>
      <c r="L879" s="13" t="str">
        <f>HYPERLINK("http://asia.ensembl.org/Homo_sapiens/Gene/Summary?g=ENSG00000070778", "ENSG00000070778")</f>
        <v>ENSG00000070778</v>
      </c>
      <c r="M879" s="12" t="s">
        <v>15591</v>
      </c>
      <c r="N879" s="12" t="s">
        <v>15592</v>
      </c>
    </row>
    <row r="880" spans="1:14">
      <c r="A880" s="12" t="s">
        <v>11254</v>
      </c>
      <c r="B880" s="8">
        <v>1751.10130709584</v>
      </c>
      <c r="C880" s="12">
        <v>718.40584000643105</v>
      </c>
      <c r="D880" s="8">
        <v>1.28539156786398</v>
      </c>
      <c r="E880" s="12">
        <v>8.2173812757000801E-3</v>
      </c>
      <c r="F880" s="8" t="s">
        <v>92</v>
      </c>
      <c r="G880" s="12" t="s">
        <v>93</v>
      </c>
      <c r="H880" s="12">
        <v>1</v>
      </c>
      <c r="I880" s="13" t="str">
        <f>HYPERLINK("http://www.ncbi.nlm.nih.gov/gene/54431", "54431")</f>
        <v>54431</v>
      </c>
      <c r="J880" s="12" t="s">
        <v>11855</v>
      </c>
      <c r="K880" s="12" t="s">
        <v>11856</v>
      </c>
      <c r="L880" s="13" t="str">
        <f>HYPERLINK("http://asia.ensembl.org/Homo_sapiens/Gene/Summary?g=ENSG00000077232", "ENSG00000077232")</f>
        <v>ENSG00000077232</v>
      </c>
      <c r="M880" s="12" t="s">
        <v>11857</v>
      </c>
      <c r="N880" s="12" t="s">
        <v>11858</v>
      </c>
    </row>
    <row r="881" spans="1:14">
      <c r="A881" s="12" t="s">
        <v>1818</v>
      </c>
      <c r="B881" s="8">
        <v>15974.563829045999</v>
      </c>
      <c r="C881" s="12">
        <v>6554.7967507199701</v>
      </c>
      <c r="D881" s="8">
        <v>1.2851535886582499</v>
      </c>
      <c r="E881" s="12">
        <v>4.1395195247135499E-3</v>
      </c>
      <c r="F881" s="8" t="s">
        <v>1819</v>
      </c>
      <c r="G881" s="12" t="s">
        <v>1820</v>
      </c>
      <c r="H881" s="12">
        <v>1</v>
      </c>
      <c r="I881" s="13" t="str">
        <f>HYPERLINK("http://www.ncbi.nlm.nih.gov/gene/23160", "23160")</f>
        <v>23160</v>
      </c>
      <c r="J881" s="13" t="str">
        <f>HYPERLINK("http://www.ncbi.nlm.nih.gov/nuccore/NM_015131", "NM_015131")</f>
        <v>NM_015131</v>
      </c>
      <c r="K881" s="12" t="s">
        <v>1821</v>
      </c>
      <c r="L881" s="13" t="str">
        <f>HYPERLINK("http://asia.ensembl.org/Homo_sapiens/Gene/Summary?g=ENSG00000163811", "ENSG00000163811")</f>
        <v>ENSG00000163811</v>
      </c>
      <c r="M881" s="12" t="s">
        <v>12437</v>
      </c>
      <c r="N881" s="12" t="s">
        <v>12438</v>
      </c>
    </row>
    <row r="882" spans="1:14">
      <c r="A882" s="12" t="s">
        <v>10524</v>
      </c>
      <c r="B882" s="8">
        <v>850.07776719723699</v>
      </c>
      <c r="C882" s="12">
        <v>349.070325469431</v>
      </c>
      <c r="D882" s="8">
        <v>1.2840771102244699</v>
      </c>
      <c r="E882" s="12">
        <v>1.02810495849248E-3</v>
      </c>
      <c r="F882" s="8" t="s">
        <v>1265</v>
      </c>
      <c r="G882" s="12" t="s">
        <v>15526</v>
      </c>
      <c r="H882" s="12">
        <v>1</v>
      </c>
      <c r="I882" s="13" t="str">
        <f>HYPERLINK("http://www.ncbi.nlm.nih.gov/gene/93183", "93183")</f>
        <v>93183</v>
      </c>
      <c r="J882" s="13" t="str">
        <f>HYPERLINK("http://www.ncbi.nlm.nih.gov/nuccore/NM_145167", "NM_145167")</f>
        <v>NM_145167</v>
      </c>
      <c r="K882" s="12" t="s">
        <v>1266</v>
      </c>
      <c r="L882" s="13" t="str">
        <f>HYPERLINK("http://asia.ensembl.org/Homo_sapiens/Gene/Summary?g=ENSG00000143315", "ENSG00000143315")</f>
        <v>ENSG00000143315</v>
      </c>
      <c r="M882" s="12" t="s">
        <v>1267</v>
      </c>
      <c r="N882" s="12" t="s">
        <v>1268</v>
      </c>
    </row>
    <row r="883" spans="1:14">
      <c r="A883" s="12" t="s">
        <v>4362</v>
      </c>
      <c r="B883" s="8">
        <v>25732.3854294341</v>
      </c>
      <c r="C883" s="12">
        <v>10567.375973009401</v>
      </c>
      <c r="D883" s="8">
        <v>1.2839680233222901</v>
      </c>
      <c r="E883" s="12">
        <v>1.1381813600042199E-2</v>
      </c>
      <c r="F883" s="8" t="s">
        <v>4363</v>
      </c>
      <c r="G883" s="12" t="s">
        <v>93</v>
      </c>
      <c r="H883" s="12">
        <v>1</v>
      </c>
      <c r="I883" s="13" t="str">
        <f>HYPERLINK("http://www.ncbi.nlm.nih.gov/gene/7266", "7266")</f>
        <v>7266</v>
      </c>
      <c r="J883" s="12" t="s">
        <v>13210</v>
      </c>
      <c r="K883" s="12" t="s">
        <v>13211</v>
      </c>
      <c r="L883" s="13" t="str">
        <f>HYPERLINK("http://asia.ensembl.org/Homo_sapiens/Gene/Summary?g=ENSG00000168259", "ENSG00000168259")</f>
        <v>ENSG00000168259</v>
      </c>
      <c r="M883" s="12" t="s">
        <v>13212</v>
      </c>
      <c r="N883" s="12" t="s">
        <v>13213</v>
      </c>
    </row>
    <row r="884" spans="1:14">
      <c r="A884" s="12" t="s">
        <v>8653</v>
      </c>
      <c r="B884" s="8">
        <v>846.73028048379194</v>
      </c>
      <c r="C884" s="12">
        <v>347.98769221544597</v>
      </c>
      <c r="D884" s="8">
        <v>1.28286620206883</v>
      </c>
      <c r="E884" s="12">
        <v>1.0902620798059899E-2</v>
      </c>
      <c r="F884" s="8" t="s">
        <v>38</v>
      </c>
      <c r="G884" s="12" t="s">
        <v>38</v>
      </c>
      <c r="H884" s="12">
        <v>1</v>
      </c>
      <c r="I884" s="12" t="s">
        <v>38</v>
      </c>
      <c r="J884" s="12" t="s">
        <v>38</v>
      </c>
      <c r="K884" s="12" t="s">
        <v>38</v>
      </c>
      <c r="L884" s="13" t="str">
        <f>HYPERLINK("http://asia.ensembl.org/Homo_sapiens/Gene/Summary?g=ENSG00000185155", "ENSG00000185155")</f>
        <v>ENSG00000185155</v>
      </c>
      <c r="M884" s="12" t="s">
        <v>8654</v>
      </c>
      <c r="N884" s="12" t="s">
        <v>14797</v>
      </c>
    </row>
    <row r="885" spans="1:14">
      <c r="A885" s="12" t="s">
        <v>10499</v>
      </c>
      <c r="B885" s="8">
        <v>1561.02757975339</v>
      </c>
      <c r="C885" s="12">
        <v>641.79547342424496</v>
      </c>
      <c r="D885" s="8">
        <v>1.2823105071741401</v>
      </c>
      <c r="E885" s="12">
        <v>9.4004591805230894E-3</v>
      </c>
      <c r="F885" s="8" t="s">
        <v>1788</v>
      </c>
      <c r="G885" s="12" t="s">
        <v>15484</v>
      </c>
      <c r="H885" s="12">
        <v>1</v>
      </c>
      <c r="I885" s="13" t="str">
        <f>HYPERLINK("http://www.ncbi.nlm.nih.gov/gene/658", "658")</f>
        <v>658</v>
      </c>
      <c r="J885" s="12" t="s">
        <v>15485</v>
      </c>
      <c r="K885" s="12" t="s">
        <v>15486</v>
      </c>
      <c r="L885" s="13" t="str">
        <f>HYPERLINK("http://asia.ensembl.org/Homo_sapiens/Gene/Summary?g=ENSG00000138696", "ENSG00000138696")</f>
        <v>ENSG00000138696</v>
      </c>
      <c r="M885" s="12" t="s">
        <v>15487</v>
      </c>
      <c r="N885" s="12" t="s">
        <v>15488</v>
      </c>
    </row>
    <row r="886" spans="1:14">
      <c r="A886" s="12" t="s">
        <v>11196</v>
      </c>
      <c r="B886" s="8">
        <v>2129.5788285306398</v>
      </c>
      <c r="C886" s="12">
        <v>875.67733157268196</v>
      </c>
      <c r="D886" s="8">
        <v>1.2820968632112</v>
      </c>
      <c r="E886" s="12">
        <v>3.5178009186938599E-3</v>
      </c>
      <c r="F886" s="8" t="s">
        <v>38</v>
      </c>
      <c r="G886" s="12" t="s">
        <v>38</v>
      </c>
      <c r="H886" s="12">
        <v>1</v>
      </c>
      <c r="I886" s="12" t="s">
        <v>38</v>
      </c>
      <c r="J886" s="12" t="s">
        <v>38</v>
      </c>
      <c r="K886" s="12" t="s">
        <v>38</v>
      </c>
      <c r="L886" s="13" t="str">
        <f>HYPERLINK("http://asia.ensembl.org/Homo_sapiens/Gene/Summary?g=ENSG00000214046", "ENSG00000214046")</f>
        <v>ENSG00000214046</v>
      </c>
      <c r="M886" s="12" t="s">
        <v>11197</v>
      </c>
      <c r="N886" s="12" t="s">
        <v>16029</v>
      </c>
    </row>
    <row r="887" spans="1:14">
      <c r="A887" s="12" t="s">
        <v>10489</v>
      </c>
      <c r="B887" s="8">
        <v>237.73617593767099</v>
      </c>
      <c r="C887" s="12">
        <v>97.786287407694701</v>
      </c>
      <c r="D887" s="8">
        <v>1.2816573775712099</v>
      </c>
      <c r="E887" s="12">
        <v>2.02727481827331E-2</v>
      </c>
      <c r="F887" s="8" t="s">
        <v>5466</v>
      </c>
      <c r="G887" s="12" t="s">
        <v>15466</v>
      </c>
      <c r="H887" s="12">
        <v>1</v>
      </c>
      <c r="I887" s="13" t="str">
        <f>HYPERLINK("http://www.ncbi.nlm.nih.gov/gene/1739", "1739")</f>
        <v>1739</v>
      </c>
      <c r="J887" s="12" t="s">
        <v>15467</v>
      </c>
      <c r="K887" s="12" t="s">
        <v>15468</v>
      </c>
      <c r="L887" s="13" t="str">
        <f>HYPERLINK("http://asia.ensembl.org/Homo_sapiens/Gene/Summary?g=ENSG00000075711", "ENSG00000075711")</f>
        <v>ENSG00000075711</v>
      </c>
      <c r="M887" s="12" t="s">
        <v>15469</v>
      </c>
      <c r="N887" s="12" t="s">
        <v>15470</v>
      </c>
    </row>
    <row r="888" spans="1:14">
      <c r="A888" s="12" t="s">
        <v>4587</v>
      </c>
      <c r="B888" s="8">
        <v>6950.64977529731</v>
      </c>
      <c r="C888" s="12">
        <v>2859.5252614511501</v>
      </c>
      <c r="D888" s="8">
        <v>1.28137220263042</v>
      </c>
      <c r="E888" s="12">
        <v>7.9068833307121798E-3</v>
      </c>
      <c r="F888" s="8" t="s">
        <v>4588</v>
      </c>
      <c r="G888" s="12" t="s">
        <v>41</v>
      </c>
      <c r="H888" s="12">
        <v>1</v>
      </c>
      <c r="I888" s="13" t="str">
        <f>HYPERLINK("http://www.ncbi.nlm.nih.gov/gene/51144", "51144")</f>
        <v>51144</v>
      </c>
      <c r="J888" s="13" t="str">
        <f>HYPERLINK("http://www.ncbi.nlm.nih.gov/nuccore/NM_016142", "NM_016142")</f>
        <v>NM_016142</v>
      </c>
      <c r="K888" s="12" t="s">
        <v>4589</v>
      </c>
      <c r="L888" s="13" t="str">
        <f>HYPERLINK("http://asia.ensembl.org/Homo_sapiens/Gene/Summary?g=ENSG00000149084", "ENSG00000149084")</f>
        <v>ENSG00000149084</v>
      </c>
      <c r="M888" s="12" t="s">
        <v>13301</v>
      </c>
      <c r="N888" s="12" t="s">
        <v>13302</v>
      </c>
    </row>
    <row r="889" spans="1:14">
      <c r="A889" s="12" t="s">
        <v>2075</v>
      </c>
      <c r="B889" s="8">
        <v>1734.17922246067</v>
      </c>
      <c r="C889" s="12">
        <v>713.72691323988101</v>
      </c>
      <c r="D889" s="8">
        <v>1.28080892485068</v>
      </c>
      <c r="E889" s="12">
        <v>3.55986167981739E-3</v>
      </c>
      <c r="F889" s="8" t="s">
        <v>2076</v>
      </c>
      <c r="G889" s="12" t="s">
        <v>2077</v>
      </c>
      <c r="H889" s="12">
        <v>1</v>
      </c>
      <c r="I889" s="13" t="str">
        <f>HYPERLINK("http://www.ncbi.nlm.nih.gov/gene/23118", "23118")</f>
        <v>23118</v>
      </c>
      <c r="J889" s="13" t="str">
        <f>HYPERLINK("http://www.ncbi.nlm.nih.gov/nuccore/NM_015093", "NM_015093")</f>
        <v>NM_015093</v>
      </c>
      <c r="K889" s="12" t="s">
        <v>2078</v>
      </c>
      <c r="L889" s="13" t="str">
        <f>HYPERLINK("http://asia.ensembl.org/Homo_sapiens/Gene/Summary?g=ENSG00000055208", "ENSG00000055208")</f>
        <v>ENSG00000055208</v>
      </c>
      <c r="M889" s="12" t="s">
        <v>12539</v>
      </c>
      <c r="N889" s="12" t="s">
        <v>12540</v>
      </c>
    </row>
    <row r="890" spans="1:14">
      <c r="A890" s="12" t="s">
        <v>1651</v>
      </c>
      <c r="B890" s="8">
        <v>18009.073735267699</v>
      </c>
      <c r="C890" s="12">
        <v>7412.4947074573001</v>
      </c>
      <c r="D890" s="8">
        <v>1.28069290601124</v>
      </c>
      <c r="E890" s="12">
        <v>3.1431978284026099E-3</v>
      </c>
      <c r="F890" s="8" t="s">
        <v>1652</v>
      </c>
      <c r="G890" s="12" t="s">
        <v>1653</v>
      </c>
      <c r="H890" s="12">
        <v>1</v>
      </c>
      <c r="I890" s="13" t="str">
        <f>HYPERLINK("http://www.ncbi.nlm.nih.gov/gene/5885", "5885")</f>
        <v>5885</v>
      </c>
      <c r="J890" s="13" t="str">
        <f>HYPERLINK("http://www.ncbi.nlm.nih.gov/nuccore/NM_006265", "NM_006265")</f>
        <v>NM_006265</v>
      </c>
      <c r="K890" s="12" t="s">
        <v>1654</v>
      </c>
      <c r="L890" s="13" t="str">
        <f>HYPERLINK("http://asia.ensembl.org/Homo_sapiens/Gene/Summary?g=ENSG00000164754", "ENSG00000164754")</f>
        <v>ENSG00000164754</v>
      </c>
      <c r="M890" s="12" t="s">
        <v>12383</v>
      </c>
      <c r="N890" s="12" t="s">
        <v>12384</v>
      </c>
    </row>
    <row r="891" spans="1:14">
      <c r="A891" s="12" t="s">
        <v>3575</v>
      </c>
      <c r="B891" s="8">
        <v>6594.0395297089299</v>
      </c>
      <c r="C891" s="12">
        <v>2714.2096853026401</v>
      </c>
      <c r="D891" s="8">
        <v>1.2806303556963201</v>
      </c>
      <c r="E891" s="12">
        <v>4.6430983996173202E-3</v>
      </c>
      <c r="F891" s="8" t="s">
        <v>3576</v>
      </c>
      <c r="G891" s="12" t="s">
        <v>3577</v>
      </c>
      <c r="H891" s="12">
        <v>1</v>
      </c>
      <c r="I891" s="13" t="str">
        <f>HYPERLINK("http://www.ncbi.nlm.nih.gov/gene/25998", "25998")</f>
        <v>25998</v>
      </c>
      <c r="J891" s="13" t="str">
        <f>HYPERLINK("http://www.ncbi.nlm.nih.gov/nuccore/NM_015525", "NM_015525")</f>
        <v>NM_015525</v>
      </c>
      <c r="K891" s="12" t="s">
        <v>3578</v>
      </c>
      <c r="L891" s="13" t="str">
        <f>HYPERLINK("http://asia.ensembl.org/Homo_sapiens/Gene/Summary?g=ENSG00000005700", "ENSG00000005700")</f>
        <v>ENSG00000005700</v>
      </c>
      <c r="M891" s="12" t="s">
        <v>13051</v>
      </c>
      <c r="N891" s="12" t="s">
        <v>13052</v>
      </c>
    </row>
    <row r="892" spans="1:14">
      <c r="A892" s="12" t="s">
        <v>10855</v>
      </c>
      <c r="B892" s="8">
        <v>11653.785150502899</v>
      </c>
      <c r="C892" s="12">
        <v>4801.7489025929799</v>
      </c>
      <c r="D892" s="8">
        <v>1.2791667505419999</v>
      </c>
      <c r="E892" s="12">
        <v>4.2435454537945701E-3</v>
      </c>
      <c r="F892" s="8" t="s">
        <v>10856</v>
      </c>
      <c r="G892" s="12" t="s">
        <v>15931</v>
      </c>
      <c r="H892" s="12">
        <v>4</v>
      </c>
      <c r="I892" s="12" t="s">
        <v>10857</v>
      </c>
      <c r="J892" s="12" t="s">
        <v>15932</v>
      </c>
      <c r="K892" s="12" t="s">
        <v>15933</v>
      </c>
      <c r="L892" s="12" t="s">
        <v>10858</v>
      </c>
      <c r="M892" s="12" t="s">
        <v>15934</v>
      </c>
      <c r="N892" s="12" t="s">
        <v>15935</v>
      </c>
    </row>
    <row r="893" spans="1:14">
      <c r="A893" s="12" t="s">
        <v>11780</v>
      </c>
      <c r="B893" s="8">
        <v>5418.3508997881199</v>
      </c>
      <c r="C893" s="12">
        <v>2233.8018986986199</v>
      </c>
      <c r="D893" s="8">
        <v>1.27835257916908</v>
      </c>
      <c r="E893" s="12">
        <v>2.1471411763257101E-3</v>
      </c>
      <c r="F893" s="8" t="s">
        <v>11277</v>
      </c>
      <c r="G893" s="12" t="s">
        <v>11278</v>
      </c>
      <c r="H893" s="12">
        <v>1</v>
      </c>
      <c r="I893" s="13" t="str">
        <f>HYPERLINK("http://www.ncbi.nlm.nih.gov/gene/8317", "8317")</f>
        <v>8317</v>
      </c>
      <c r="J893" s="12" t="s">
        <v>16196</v>
      </c>
      <c r="K893" s="12" t="s">
        <v>16197</v>
      </c>
      <c r="L893" s="13" t="str">
        <f>HYPERLINK("http://asia.ensembl.org/Homo_sapiens/Gene/Summary?g=ENSG00000097046", "ENSG00000097046")</f>
        <v>ENSG00000097046</v>
      </c>
      <c r="M893" s="12" t="s">
        <v>16198</v>
      </c>
      <c r="N893" s="12" t="s">
        <v>16199</v>
      </c>
    </row>
    <row r="894" spans="1:14">
      <c r="A894" s="12" t="s">
        <v>7207</v>
      </c>
      <c r="B894" s="8">
        <v>1732.3248733275</v>
      </c>
      <c r="C894" s="12">
        <v>714.31003980165497</v>
      </c>
      <c r="D894" s="8">
        <v>1.2780872087214401</v>
      </c>
      <c r="E894" s="12">
        <v>2.5264349627788899E-2</v>
      </c>
      <c r="F894" s="8" t="s">
        <v>7208</v>
      </c>
      <c r="G894" s="12" t="s">
        <v>7209</v>
      </c>
      <c r="H894" s="12">
        <v>1</v>
      </c>
      <c r="I894" s="13" t="str">
        <f>HYPERLINK("http://www.ncbi.nlm.nih.gov/gene/6249", "6249")</f>
        <v>6249</v>
      </c>
      <c r="J894" s="12" t="s">
        <v>14366</v>
      </c>
      <c r="K894" s="12" t="s">
        <v>14367</v>
      </c>
      <c r="L894" s="13" t="str">
        <f>HYPERLINK("http://asia.ensembl.org/Homo_sapiens/Gene/Summary?g=ENSG00000130779", "ENSG00000130779")</f>
        <v>ENSG00000130779</v>
      </c>
      <c r="M894" s="12" t="s">
        <v>14368</v>
      </c>
      <c r="N894" s="12" t="s">
        <v>14369</v>
      </c>
    </row>
    <row r="895" spans="1:14">
      <c r="A895" s="12" t="s">
        <v>210</v>
      </c>
      <c r="B895" s="8">
        <v>2386.0542959559298</v>
      </c>
      <c r="C895" s="12">
        <v>983.95012696569302</v>
      </c>
      <c r="D895" s="8">
        <v>1.2779697754121699</v>
      </c>
      <c r="E895" s="12">
        <v>1.0971923741070399E-2</v>
      </c>
      <c r="F895" s="8" t="s">
        <v>211</v>
      </c>
      <c r="G895" s="12" t="s">
        <v>212</v>
      </c>
      <c r="H895" s="12">
        <v>1</v>
      </c>
      <c r="I895" s="13" t="str">
        <f>HYPERLINK("http://www.ncbi.nlm.nih.gov/gene/10772", "10772")</f>
        <v>10772</v>
      </c>
      <c r="J895" s="12" t="s">
        <v>11898</v>
      </c>
      <c r="K895" s="12" t="s">
        <v>11899</v>
      </c>
      <c r="L895" s="13" t="str">
        <f>HYPERLINK("http://asia.ensembl.org/Homo_sapiens/Gene/Summary?g=ENSG00000188529", "ENSG00000188529")</f>
        <v>ENSG00000188529</v>
      </c>
      <c r="M895" s="12" t="s">
        <v>11900</v>
      </c>
      <c r="N895" s="12" t="s">
        <v>11901</v>
      </c>
    </row>
    <row r="896" spans="1:14">
      <c r="A896" s="12" t="s">
        <v>5382</v>
      </c>
      <c r="B896" s="8">
        <v>895.00073656765801</v>
      </c>
      <c r="C896" s="12">
        <v>369.51466409341703</v>
      </c>
      <c r="D896" s="8">
        <v>1.2762572512012</v>
      </c>
      <c r="E896" s="12">
        <v>4.4016082383531397E-3</v>
      </c>
      <c r="F896" s="8" t="s">
        <v>5383</v>
      </c>
      <c r="G896" s="12" t="s">
        <v>5384</v>
      </c>
      <c r="H896" s="12">
        <v>1</v>
      </c>
      <c r="I896" s="13" t="str">
        <f>HYPERLINK("http://www.ncbi.nlm.nih.gov/gene/57600", "57600")</f>
        <v>57600</v>
      </c>
      <c r="J896" s="13" t="str">
        <f>HYPERLINK("http://www.ncbi.nlm.nih.gov/nuccore/NM_020840", "NM_020840")</f>
        <v>NM_020840</v>
      </c>
      <c r="K896" s="12" t="s">
        <v>5385</v>
      </c>
      <c r="L896" s="13" t="str">
        <f>HYPERLINK("http://asia.ensembl.org/Homo_sapiens/Gene/Summary?g=ENSG00000052795", "ENSG00000052795")</f>
        <v>ENSG00000052795</v>
      </c>
      <c r="M896" s="12" t="s">
        <v>13711</v>
      </c>
      <c r="N896" s="12" t="s">
        <v>13712</v>
      </c>
    </row>
    <row r="897" spans="1:14">
      <c r="A897" s="12" t="s">
        <v>984</v>
      </c>
      <c r="B897" s="8">
        <v>4344.3255464059403</v>
      </c>
      <c r="C897" s="12">
        <v>1794.61676018604</v>
      </c>
      <c r="D897" s="8">
        <v>1.27545642710555</v>
      </c>
      <c r="E897" s="12">
        <v>5.5031254090044603E-4</v>
      </c>
      <c r="F897" s="8" t="s">
        <v>985</v>
      </c>
      <c r="G897" s="12" t="s">
        <v>986</v>
      </c>
      <c r="H897" s="12">
        <v>1</v>
      </c>
      <c r="I897" s="13" t="str">
        <f>HYPERLINK("http://www.ncbi.nlm.nih.gov/gene/4154", "4154")</f>
        <v>4154</v>
      </c>
      <c r="J897" s="12" t="s">
        <v>12181</v>
      </c>
      <c r="K897" s="12" t="s">
        <v>12182</v>
      </c>
      <c r="L897" s="13" t="str">
        <f>HYPERLINK("http://asia.ensembl.org/Homo_sapiens/Gene/Summary?g=ENSG00000152601", "ENSG00000152601")</f>
        <v>ENSG00000152601</v>
      </c>
      <c r="M897" s="12" t="s">
        <v>12183</v>
      </c>
      <c r="N897" s="12" t="s">
        <v>12184</v>
      </c>
    </row>
    <row r="898" spans="1:14">
      <c r="A898" s="12" t="s">
        <v>10485</v>
      </c>
      <c r="B898" s="8">
        <v>354.93083445236402</v>
      </c>
      <c r="C898" s="12">
        <v>146.62700455048801</v>
      </c>
      <c r="D898" s="8">
        <v>1.27538708171132</v>
      </c>
      <c r="E898" s="12">
        <v>3.5378584170328302E-3</v>
      </c>
      <c r="F898" s="8" t="s">
        <v>6021</v>
      </c>
      <c r="G898" s="12" t="s">
        <v>6022</v>
      </c>
      <c r="H898" s="12">
        <v>1</v>
      </c>
      <c r="I898" s="13" t="str">
        <f>HYPERLINK("http://www.ncbi.nlm.nih.gov/gene/55031", "55031")</f>
        <v>55031</v>
      </c>
      <c r="J898" s="13" t="str">
        <f>HYPERLINK("http://www.ncbi.nlm.nih.gov/nuccore/NM_017944", "NM_017944")</f>
        <v>NM_017944</v>
      </c>
      <c r="K898" s="12" t="s">
        <v>6023</v>
      </c>
      <c r="L898" s="13" t="str">
        <f>HYPERLINK("http://asia.ensembl.org/Homo_sapiens/Gene/Summary?g=ENSG00000170242", "ENSG00000170242")</f>
        <v>ENSG00000170242</v>
      </c>
      <c r="M898" s="12" t="s">
        <v>14014</v>
      </c>
      <c r="N898" s="12" t="s">
        <v>14015</v>
      </c>
    </row>
    <row r="899" spans="1:14">
      <c r="A899" s="12" t="s">
        <v>11562</v>
      </c>
      <c r="B899" s="8">
        <v>120.97742893972</v>
      </c>
      <c r="C899" s="12">
        <v>50</v>
      </c>
      <c r="D899" s="8">
        <v>1.27473790539872</v>
      </c>
      <c r="E899" s="12">
        <v>1.62187578284029E-4</v>
      </c>
      <c r="F899" s="8" t="s">
        <v>11563</v>
      </c>
      <c r="G899" s="12" t="s">
        <v>11564</v>
      </c>
      <c r="H899" s="12">
        <v>1</v>
      </c>
      <c r="I899" s="13" t="str">
        <f>HYPERLINK("http://www.ncbi.nlm.nih.gov/gene/101929372", "101929372")</f>
        <v>101929372</v>
      </c>
      <c r="J899" s="13" t="str">
        <f>HYPERLINK("http://www.ncbi.nlm.nih.gov/nuccore/NM_001288707", "NM_001288707")</f>
        <v>NM_001288707</v>
      </c>
      <c r="K899" s="12" t="s">
        <v>11565</v>
      </c>
      <c r="L899" s="12" t="s">
        <v>38</v>
      </c>
      <c r="M899" s="12" t="s">
        <v>38</v>
      </c>
      <c r="N899" s="12" t="s">
        <v>38</v>
      </c>
    </row>
    <row r="900" spans="1:14">
      <c r="A900" s="12" t="s">
        <v>1797</v>
      </c>
      <c r="B900" s="8">
        <v>459.97759335067599</v>
      </c>
      <c r="C900" s="12">
        <v>190.21928456710299</v>
      </c>
      <c r="D900" s="8">
        <v>1.2739000705599399</v>
      </c>
      <c r="E900" s="12">
        <v>5.4889447134673997E-3</v>
      </c>
      <c r="F900" s="8" t="s">
        <v>184</v>
      </c>
      <c r="G900" s="12" t="s">
        <v>185</v>
      </c>
      <c r="H900" s="12">
        <v>1</v>
      </c>
      <c r="I900" s="13" t="str">
        <f>HYPERLINK("http://www.ncbi.nlm.nih.gov/gene/6671", "6671")</f>
        <v>6671</v>
      </c>
      <c r="J900" s="13" t="str">
        <f>HYPERLINK("http://www.ncbi.nlm.nih.gov/nuccore/NM_003112", "NM_003112")</f>
        <v>NM_003112</v>
      </c>
      <c r="K900" s="12" t="s">
        <v>186</v>
      </c>
      <c r="L900" s="13" t="str">
        <f>HYPERLINK("http://asia.ensembl.org/Homo_sapiens/Gene/Summary?g=ENSG00000105866", "ENSG00000105866")</f>
        <v>ENSG00000105866</v>
      </c>
      <c r="M900" s="12" t="s">
        <v>12426</v>
      </c>
      <c r="N900" s="12" t="s">
        <v>12427</v>
      </c>
    </row>
    <row r="901" spans="1:14">
      <c r="A901" s="12" t="s">
        <v>4270</v>
      </c>
      <c r="B901" s="8">
        <v>1436.1051343183201</v>
      </c>
      <c r="C901" s="12">
        <v>593.92716349524596</v>
      </c>
      <c r="D901" s="8">
        <v>1.2738034482990499</v>
      </c>
      <c r="E901" s="12">
        <v>4.2039825097337103E-3</v>
      </c>
      <c r="F901" s="8" t="s">
        <v>4271</v>
      </c>
      <c r="G901" s="12" t="s">
        <v>4272</v>
      </c>
      <c r="H901" s="12">
        <v>1</v>
      </c>
      <c r="I901" s="13" t="str">
        <f>HYPERLINK("http://www.ncbi.nlm.nih.gov/gene/10569", "10569")</f>
        <v>10569</v>
      </c>
      <c r="J901" s="13" t="str">
        <f>HYPERLINK("http://www.ncbi.nlm.nih.gov/nuccore/NM_006425", "NM_006425")</f>
        <v>NM_006425</v>
      </c>
      <c r="K901" s="12" t="s">
        <v>4273</v>
      </c>
      <c r="L901" s="13" t="str">
        <f>HYPERLINK("http://asia.ensembl.org/Homo_sapiens/Gene/Summary?g=ENSG00000164609", "ENSG00000164609")</f>
        <v>ENSG00000164609</v>
      </c>
      <c r="M901" s="12" t="s">
        <v>13179</v>
      </c>
      <c r="N901" s="12" t="s">
        <v>13180</v>
      </c>
    </row>
    <row r="902" spans="1:14">
      <c r="A902" s="12" t="s">
        <v>4504</v>
      </c>
      <c r="B902" s="8">
        <v>150.21998978791899</v>
      </c>
      <c r="C902" s="12">
        <v>62.135511881259298</v>
      </c>
      <c r="D902" s="8">
        <v>1.2735868623580999</v>
      </c>
      <c r="E902" s="12">
        <v>2.9127958876371099E-4</v>
      </c>
      <c r="F902" s="8" t="s">
        <v>4505</v>
      </c>
      <c r="G902" s="12" t="s">
        <v>4506</v>
      </c>
      <c r="H902" s="12">
        <v>1</v>
      </c>
      <c r="I902" s="13" t="str">
        <f>HYPERLINK("http://www.ncbi.nlm.nih.gov/gene/81550", "81550")</f>
        <v>81550</v>
      </c>
      <c r="J902" s="12" t="s">
        <v>13259</v>
      </c>
      <c r="K902" s="12" t="s">
        <v>13260</v>
      </c>
      <c r="L902" s="13" t="str">
        <f>HYPERLINK("http://asia.ensembl.org/Homo_sapiens/Gene/Summary?g=ENSG00000083544", "ENSG00000083544")</f>
        <v>ENSG00000083544</v>
      </c>
      <c r="M902" s="12" t="s">
        <v>13261</v>
      </c>
      <c r="N902" s="12" t="s">
        <v>13262</v>
      </c>
    </row>
    <row r="903" spans="1:14">
      <c r="A903" s="12" t="s">
        <v>10746</v>
      </c>
      <c r="B903" s="8">
        <v>12954.820893411301</v>
      </c>
      <c r="C903" s="12">
        <v>5362.88800257206</v>
      </c>
      <c r="D903" s="8">
        <v>1.27240703985944</v>
      </c>
      <c r="E903" s="12">
        <v>1.8758919937744401E-3</v>
      </c>
      <c r="F903" s="8" t="s">
        <v>4790</v>
      </c>
      <c r="G903" s="12" t="s">
        <v>4791</v>
      </c>
      <c r="H903" s="12">
        <v>1</v>
      </c>
      <c r="I903" s="13" t="str">
        <f>HYPERLINK("http://www.ncbi.nlm.nih.gov/gene/57120", "57120")</f>
        <v>57120</v>
      </c>
      <c r="J903" s="12" t="s">
        <v>15808</v>
      </c>
      <c r="K903" s="12" t="s">
        <v>15809</v>
      </c>
      <c r="L903" s="13" t="str">
        <f>HYPERLINK("http://asia.ensembl.org/Homo_sapiens/Gene/Summary?g=ENSG00000047932", "ENSG00000047932")</f>
        <v>ENSG00000047932</v>
      </c>
      <c r="M903" s="12" t="s">
        <v>15810</v>
      </c>
      <c r="N903" s="12" t="s">
        <v>15811</v>
      </c>
    </row>
    <row r="904" spans="1:14">
      <c r="A904" s="12" t="s">
        <v>1360</v>
      </c>
      <c r="B904" s="8">
        <v>7014.3760961779799</v>
      </c>
      <c r="C904" s="12">
        <v>2904.5401488313801</v>
      </c>
      <c r="D904" s="8">
        <v>1.2720050148973601</v>
      </c>
      <c r="E904" s="12">
        <v>7.3672949570500296E-4</v>
      </c>
      <c r="F904" s="8" t="s">
        <v>1361</v>
      </c>
      <c r="G904" s="12" t="s">
        <v>1362</v>
      </c>
      <c r="H904" s="12">
        <v>1</v>
      </c>
      <c r="I904" s="13" t="str">
        <f>HYPERLINK("http://www.ncbi.nlm.nih.gov/gene/51026", "51026")</f>
        <v>51026</v>
      </c>
      <c r="J904" s="13" t="str">
        <f>HYPERLINK("http://www.ncbi.nlm.nih.gov/nuccore/NM_016072", "NM_016072")</f>
        <v>NM_016072</v>
      </c>
      <c r="K904" s="12" t="s">
        <v>1363</v>
      </c>
      <c r="L904" s="13" t="str">
        <f>HYPERLINK("http://asia.ensembl.org/Homo_sapiens/Gene/Summary?g=ENSG00000111711", "ENSG00000111711")</f>
        <v>ENSG00000111711</v>
      </c>
      <c r="M904" s="12" t="s">
        <v>12318</v>
      </c>
      <c r="N904" s="12" t="s">
        <v>12319</v>
      </c>
    </row>
    <row r="905" spans="1:14">
      <c r="A905" s="12" t="s">
        <v>5842</v>
      </c>
      <c r="B905" s="8">
        <v>2944.7327883508901</v>
      </c>
      <c r="C905" s="12">
        <v>1219.4312458930499</v>
      </c>
      <c r="D905" s="8">
        <v>1.2719283083792901</v>
      </c>
      <c r="E905" s="12">
        <v>6.5811347188902197E-3</v>
      </c>
      <c r="F905" s="8" t="s">
        <v>5843</v>
      </c>
      <c r="G905" s="12" t="s">
        <v>447</v>
      </c>
      <c r="H905" s="12">
        <v>1</v>
      </c>
      <c r="I905" s="13" t="str">
        <f>HYPERLINK("http://www.ncbi.nlm.nih.gov/gene/51735", "51735")</f>
        <v>51735</v>
      </c>
      <c r="J905" s="12" t="s">
        <v>13931</v>
      </c>
      <c r="K905" s="12" t="s">
        <v>13932</v>
      </c>
      <c r="L905" s="13" t="str">
        <f>HYPERLINK("http://asia.ensembl.org/Homo_sapiens/Gene/Summary?g=ENSG00000158987", "ENSG00000158987")</f>
        <v>ENSG00000158987</v>
      </c>
      <c r="M905" s="12" t="s">
        <v>13933</v>
      </c>
      <c r="N905" s="12" t="s">
        <v>13934</v>
      </c>
    </row>
    <row r="906" spans="1:14">
      <c r="A906" s="12" t="s">
        <v>2568</v>
      </c>
      <c r="B906" s="8">
        <v>610.22882496647799</v>
      </c>
      <c r="C906" s="12">
        <v>252.732844484965</v>
      </c>
      <c r="D906" s="8">
        <v>1.27173716387851</v>
      </c>
      <c r="E906" s="12">
        <v>7.4554195727125497E-3</v>
      </c>
      <c r="F906" s="8" t="s">
        <v>2569</v>
      </c>
      <c r="G906" s="12" t="s">
        <v>2570</v>
      </c>
      <c r="H906" s="12">
        <v>1</v>
      </c>
      <c r="I906" s="13" t="str">
        <f>HYPERLINK("http://www.ncbi.nlm.nih.gov/gene/23052", "23052")</f>
        <v>23052</v>
      </c>
      <c r="J906" s="13" t="str">
        <f>HYPERLINK("http://www.ncbi.nlm.nih.gov/nuccore/NM_015036", "NM_015036")</f>
        <v>NM_015036</v>
      </c>
      <c r="K906" s="12" t="s">
        <v>2571</v>
      </c>
      <c r="L906" s="13" t="str">
        <f>HYPERLINK("http://asia.ensembl.org/Homo_sapiens/Gene/Summary?g=ENSG00000149218", "ENSG00000149218")</f>
        <v>ENSG00000149218</v>
      </c>
      <c r="M906" s="12" t="s">
        <v>2572</v>
      </c>
      <c r="N906" s="12" t="s">
        <v>2573</v>
      </c>
    </row>
    <row r="907" spans="1:14">
      <c r="A907" s="12" t="s">
        <v>10219</v>
      </c>
      <c r="B907" s="8">
        <v>207.99049238868699</v>
      </c>
      <c r="C907" s="12">
        <v>86.180705882819495</v>
      </c>
      <c r="D907" s="8">
        <v>1.27108076141161</v>
      </c>
      <c r="E907" s="12">
        <v>2.29252519494366E-4</v>
      </c>
      <c r="F907" s="8" t="s">
        <v>3247</v>
      </c>
      <c r="G907" s="12" t="s">
        <v>3248</v>
      </c>
      <c r="H907" s="12">
        <v>1</v>
      </c>
      <c r="I907" s="13" t="str">
        <f>HYPERLINK("http://www.ncbi.nlm.nih.gov/gene/54806", "54806")</f>
        <v>54806</v>
      </c>
      <c r="J907" s="13" t="str">
        <f>HYPERLINK("http://www.ncbi.nlm.nih.gov/nuccore/NM_001134832", "NM_001134832")</f>
        <v>NM_001134832</v>
      </c>
      <c r="K907" s="12" t="s">
        <v>10220</v>
      </c>
      <c r="L907" s="13" t="str">
        <f>HYPERLINK("http://asia.ensembl.org/Homo_sapiens/Gene/Summary?g=ENSG00000135541", "ENSG00000135541")</f>
        <v>ENSG00000135541</v>
      </c>
      <c r="M907" s="12" t="s">
        <v>15323</v>
      </c>
      <c r="N907" s="12" t="s">
        <v>15324</v>
      </c>
    </row>
    <row r="908" spans="1:14">
      <c r="A908" s="12" t="s">
        <v>11138</v>
      </c>
      <c r="B908" s="8">
        <v>3031.2905243321902</v>
      </c>
      <c r="C908" s="12">
        <v>1256.95366442213</v>
      </c>
      <c r="D908" s="8">
        <v>1.2700006611312</v>
      </c>
      <c r="E908" s="12">
        <v>2.5075246267823202E-3</v>
      </c>
      <c r="F908" s="8" t="s">
        <v>3967</v>
      </c>
      <c r="G908" s="12" t="s">
        <v>3968</v>
      </c>
      <c r="H908" s="12">
        <v>1</v>
      </c>
      <c r="I908" s="13" t="str">
        <f>HYPERLINK("http://www.ncbi.nlm.nih.gov/gene/87178", "87178")</f>
        <v>87178</v>
      </c>
      <c r="J908" s="13" t="str">
        <f>HYPERLINK("http://www.ncbi.nlm.nih.gov/nuccore/NM_033109", "NM_033109")</f>
        <v>NM_033109</v>
      </c>
      <c r="K908" s="12" t="s">
        <v>3969</v>
      </c>
      <c r="L908" s="13" t="str">
        <f>HYPERLINK("http://asia.ensembl.org/Homo_sapiens/Gene/Summary?g=ENSG00000138035", "ENSG00000138035")</f>
        <v>ENSG00000138035</v>
      </c>
      <c r="M908" s="12" t="s">
        <v>13140</v>
      </c>
      <c r="N908" s="12" t="s">
        <v>13141</v>
      </c>
    </row>
    <row r="909" spans="1:14">
      <c r="A909" s="12" t="s">
        <v>6299</v>
      </c>
      <c r="B909" s="8">
        <v>1508.5067169866099</v>
      </c>
      <c r="C909" s="12">
        <v>625.86754441618405</v>
      </c>
      <c r="D909" s="8">
        <v>1.26919185087803</v>
      </c>
      <c r="E909" s="12">
        <v>1.28749822300927E-2</v>
      </c>
      <c r="F909" s="8" t="s">
        <v>6300</v>
      </c>
      <c r="G909" s="12" t="s">
        <v>6301</v>
      </c>
      <c r="H909" s="12">
        <v>1</v>
      </c>
      <c r="I909" s="13" t="str">
        <f>HYPERLINK("http://www.ncbi.nlm.nih.gov/gene/55167", "55167")</f>
        <v>55167</v>
      </c>
      <c r="J909" s="12" t="s">
        <v>14134</v>
      </c>
      <c r="K909" s="12" t="s">
        <v>14135</v>
      </c>
      <c r="L909" s="13" t="str">
        <f>HYPERLINK("http://asia.ensembl.org/Homo_sapiens/Gene/Summary?g=ENSG00000174579", "ENSG00000174579")</f>
        <v>ENSG00000174579</v>
      </c>
      <c r="M909" s="12" t="s">
        <v>14136</v>
      </c>
      <c r="N909" s="12" t="s">
        <v>14137</v>
      </c>
    </row>
    <row r="910" spans="1:14">
      <c r="A910" s="12" t="s">
        <v>11131</v>
      </c>
      <c r="B910" s="8">
        <v>7915.2166884307699</v>
      </c>
      <c r="C910" s="12">
        <v>3284.4327004698798</v>
      </c>
      <c r="D910" s="8">
        <v>1.26898464201942</v>
      </c>
      <c r="E910" s="12">
        <v>1.2413067794039001E-3</v>
      </c>
      <c r="F910" s="8" t="s">
        <v>4763</v>
      </c>
      <c r="G910" s="12" t="s">
        <v>4764</v>
      </c>
      <c r="H910" s="12">
        <v>1</v>
      </c>
      <c r="I910" s="13" t="str">
        <f>HYPERLINK("http://www.ncbi.nlm.nih.gov/gene/7572", "7572")</f>
        <v>7572</v>
      </c>
      <c r="J910" s="13" t="str">
        <f>HYPERLINK("http://www.ncbi.nlm.nih.gov/nuccore/NM_006965", "NM_006965")</f>
        <v>NM_006965</v>
      </c>
      <c r="K910" s="12" t="s">
        <v>4765</v>
      </c>
      <c r="L910" s="13" t="str">
        <f>HYPERLINK("http://asia.ensembl.org/Homo_sapiens/Gene/Summary?g=ENSG00000172466", "ENSG00000172466")</f>
        <v>ENSG00000172466</v>
      </c>
      <c r="M910" s="12" t="s">
        <v>15988</v>
      </c>
      <c r="N910" s="12" t="s">
        <v>15989</v>
      </c>
    </row>
    <row r="911" spans="1:14">
      <c r="A911" s="12" t="s">
        <v>9082</v>
      </c>
      <c r="B911" s="8">
        <v>138.75969721619899</v>
      </c>
      <c r="C911" s="12">
        <v>57.651008810778301</v>
      </c>
      <c r="D911" s="8">
        <v>1.26717083934948</v>
      </c>
      <c r="E911" s="12">
        <v>1.15613592351276E-2</v>
      </c>
      <c r="F911" s="8" t="s">
        <v>9083</v>
      </c>
      <c r="G911" s="12" t="s">
        <v>9084</v>
      </c>
      <c r="H911" s="12">
        <v>1</v>
      </c>
      <c r="I911" s="13" t="str">
        <f>HYPERLINK("http://www.ncbi.nlm.nih.gov/gene/4543", "4543")</f>
        <v>4543</v>
      </c>
      <c r="J911" s="13" t="str">
        <f>HYPERLINK("http://www.ncbi.nlm.nih.gov/nuccore/NM_005958", "NM_005958")</f>
        <v>NM_005958</v>
      </c>
      <c r="K911" s="12" t="s">
        <v>9085</v>
      </c>
      <c r="L911" s="13" t="str">
        <f>HYPERLINK("http://asia.ensembl.org/Homo_sapiens/Gene/Summary?g=ENSG00000168412", "ENSG00000168412")</f>
        <v>ENSG00000168412</v>
      </c>
      <c r="M911" s="12" t="s">
        <v>9086</v>
      </c>
      <c r="N911" s="12" t="s">
        <v>9087</v>
      </c>
    </row>
    <row r="912" spans="1:14">
      <c r="A912" s="12" t="s">
        <v>9618</v>
      </c>
      <c r="B912" s="8">
        <v>840.18695244748005</v>
      </c>
      <c r="C912" s="12">
        <v>349.08896211630099</v>
      </c>
      <c r="D912" s="8">
        <v>1.26711564101745</v>
      </c>
      <c r="E912" s="12">
        <v>8.4267721289343796E-3</v>
      </c>
      <c r="F912" s="8" t="s">
        <v>6623</v>
      </c>
      <c r="G912" s="12" t="s">
        <v>6624</v>
      </c>
      <c r="H912" s="12">
        <v>1</v>
      </c>
      <c r="I912" s="13" t="str">
        <f>HYPERLINK("http://www.ncbi.nlm.nih.gov/gene/81669", "81669")</f>
        <v>81669</v>
      </c>
      <c r="J912" s="13" t="str">
        <f>HYPERLINK("http://www.ncbi.nlm.nih.gov/nuccore/NM_030937", "NM_030937")</f>
        <v>NM_030937</v>
      </c>
      <c r="K912" s="12" t="s">
        <v>6625</v>
      </c>
      <c r="L912" s="13" t="str">
        <f>HYPERLINK("http://asia.ensembl.org/Homo_sapiens/Gene/Summary?g=ENSG00000221978", "ENSG00000221978")</f>
        <v>ENSG00000221978</v>
      </c>
      <c r="M912" s="12" t="s">
        <v>15117</v>
      </c>
      <c r="N912" s="12" t="s">
        <v>15118</v>
      </c>
    </row>
    <row r="913" spans="1:14">
      <c r="A913" s="12" t="s">
        <v>9607</v>
      </c>
      <c r="B913" s="8">
        <v>524.79401021346303</v>
      </c>
      <c r="C913" s="12">
        <v>218.06091594521399</v>
      </c>
      <c r="D913" s="8">
        <v>1.2670200413903401</v>
      </c>
      <c r="E913" s="12">
        <v>1.08959302679545E-2</v>
      </c>
      <c r="F913" s="8" t="s">
        <v>6951</v>
      </c>
      <c r="G913" s="12" t="s">
        <v>6952</v>
      </c>
      <c r="H913" s="12">
        <v>1</v>
      </c>
      <c r="I913" s="13" t="str">
        <f>HYPERLINK("http://www.ncbi.nlm.nih.gov/gene/9255", "9255")</f>
        <v>9255</v>
      </c>
      <c r="J913" s="12" t="s">
        <v>15104</v>
      </c>
      <c r="K913" s="12" t="s">
        <v>15105</v>
      </c>
      <c r="L913" s="13" t="str">
        <f>HYPERLINK("http://asia.ensembl.org/Homo_sapiens/Gene/Summary?g=ENSG00000164022", "ENSG00000164022")</f>
        <v>ENSG00000164022</v>
      </c>
      <c r="M913" s="12" t="s">
        <v>15106</v>
      </c>
      <c r="N913" s="12" t="s">
        <v>15107</v>
      </c>
    </row>
    <row r="914" spans="1:14">
      <c r="A914" s="12" t="s">
        <v>1804</v>
      </c>
      <c r="B914" s="8">
        <v>2055.4623080587698</v>
      </c>
      <c r="C914" s="12">
        <v>854.12789415197301</v>
      </c>
      <c r="D914" s="8">
        <v>1.2669389015025101</v>
      </c>
      <c r="E914" s="12">
        <v>3.7212150130830298E-3</v>
      </c>
      <c r="F914" s="8" t="s">
        <v>1805</v>
      </c>
      <c r="G914" s="12" t="s">
        <v>1806</v>
      </c>
      <c r="H914" s="12">
        <v>1</v>
      </c>
      <c r="I914" s="13" t="str">
        <f>HYPERLINK("http://www.ncbi.nlm.nih.gov/gene/54726", "54726")</f>
        <v>54726</v>
      </c>
      <c r="J914" s="13" t="str">
        <f>HYPERLINK("http://www.ncbi.nlm.nih.gov/nuccore/NM_001102653", "NM_001102653")</f>
        <v>NM_001102653</v>
      </c>
      <c r="K914" s="12" t="s">
        <v>1807</v>
      </c>
      <c r="L914" s="13" t="str">
        <f>HYPERLINK("http://asia.ensembl.org/Homo_sapiens/Gene/Summary?g=ENSG00000164164", "ENSG00000164164")</f>
        <v>ENSG00000164164</v>
      </c>
      <c r="M914" s="12" t="s">
        <v>12433</v>
      </c>
      <c r="N914" s="12" t="s">
        <v>12434</v>
      </c>
    </row>
    <row r="915" spans="1:14">
      <c r="A915" s="12" t="s">
        <v>11163</v>
      </c>
      <c r="B915" s="8">
        <v>543.59511916272402</v>
      </c>
      <c r="C915" s="12">
        <v>225.901947988514</v>
      </c>
      <c r="D915" s="8">
        <v>1.26683579110485</v>
      </c>
      <c r="E915" s="12">
        <v>8.6008623932672806E-3</v>
      </c>
      <c r="F915" s="8" t="s">
        <v>4450</v>
      </c>
      <c r="G915" s="12" t="s">
        <v>4451</v>
      </c>
      <c r="H915" s="12">
        <v>1</v>
      </c>
      <c r="I915" s="13" t="str">
        <f>HYPERLINK("http://www.ncbi.nlm.nih.gov/gene/257019", "257019")</f>
        <v>257019</v>
      </c>
      <c r="J915" s="12" t="s">
        <v>16011</v>
      </c>
      <c r="K915" s="12" t="s">
        <v>16012</v>
      </c>
      <c r="L915" s="13" t="str">
        <f>HYPERLINK("http://asia.ensembl.org/Homo_sapiens/Gene/Summary?g=ENSG00000172159", "ENSG00000172159")</f>
        <v>ENSG00000172159</v>
      </c>
      <c r="M915" s="12" t="s">
        <v>16013</v>
      </c>
      <c r="N915" s="12" t="s">
        <v>16014</v>
      </c>
    </row>
    <row r="916" spans="1:14">
      <c r="A916" s="12" t="s">
        <v>3026</v>
      </c>
      <c r="B916" s="8">
        <v>1530.64885535807</v>
      </c>
      <c r="C916" s="12">
        <v>636.27023837208196</v>
      </c>
      <c r="D916" s="8">
        <v>1.2664318075296199</v>
      </c>
      <c r="E916" s="12">
        <v>8.8451892385249808E-3</v>
      </c>
      <c r="F916" s="8" t="s">
        <v>3027</v>
      </c>
      <c r="G916" s="12" t="s">
        <v>3028</v>
      </c>
      <c r="H916" s="12">
        <v>1</v>
      </c>
      <c r="I916" s="13" t="str">
        <f>HYPERLINK("http://www.ncbi.nlm.nih.gov/gene/51133", "51133")</f>
        <v>51133</v>
      </c>
      <c r="J916" s="13" t="str">
        <f>HYPERLINK("http://www.ncbi.nlm.nih.gov/nuccore/NM_016121", "NM_016121")</f>
        <v>NM_016121</v>
      </c>
      <c r="K916" s="12" t="s">
        <v>3029</v>
      </c>
      <c r="L916" s="13" t="str">
        <f>HYPERLINK("http://asia.ensembl.org/Homo_sapiens/Gene/Summary?g=ENSG00000136636", "ENSG00000136636")</f>
        <v>ENSG00000136636</v>
      </c>
      <c r="M916" s="12" t="s">
        <v>12871</v>
      </c>
      <c r="N916" s="12" t="s">
        <v>12872</v>
      </c>
    </row>
    <row r="917" spans="1:14">
      <c r="A917" s="12" t="s">
        <v>8363</v>
      </c>
      <c r="B917" s="8">
        <v>373.99316483543799</v>
      </c>
      <c r="C917" s="12">
        <v>155.47578291634599</v>
      </c>
      <c r="D917" s="8">
        <v>1.26632202136162</v>
      </c>
      <c r="E917" s="12">
        <v>3.7471575466757399E-3</v>
      </c>
      <c r="F917" s="8" t="s">
        <v>8364</v>
      </c>
      <c r="G917" s="12" t="s">
        <v>8365</v>
      </c>
      <c r="H917" s="12">
        <v>1</v>
      </c>
      <c r="I917" s="13" t="str">
        <f>HYPERLINK("http://www.ncbi.nlm.nih.gov/gene/57486", "57486")</f>
        <v>57486</v>
      </c>
      <c r="J917" s="13" t="str">
        <f>HYPERLINK("http://www.ncbi.nlm.nih.gov/nuccore/NM_020726", "NM_020726")</f>
        <v>NM_020726</v>
      </c>
      <c r="K917" s="12" t="s">
        <v>8366</v>
      </c>
      <c r="L917" s="13" t="str">
        <f>HYPERLINK("http://asia.ensembl.org/Homo_sapiens/Gene/Summary?g=ENSG00000123213", "ENSG00000123213")</f>
        <v>ENSG00000123213</v>
      </c>
      <c r="M917" s="12" t="s">
        <v>14725</v>
      </c>
      <c r="N917" s="12" t="s">
        <v>14726</v>
      </c>
    </row>
    <row r="918" spans="1:14">
      <c r="A918" s="12" t="s">
        <v>4380</v>
      </c>
      <c r="B918" s="8">
        <v>418.85080550177702</v>
      </c>
      <c r="C918" s="12">
        <v>174.18409248175999</v>
      </c>
      <c r="D918" s="8">
        <v>1.2658235734631</v>
      </c>
      <c r="E918" s="12">
        <v>3.0992842952733599E-3</v>
      </c>
      <c r="F918" s="8" t="s">
        <v>4381</v>
      </c>
      <c r="G918" s="12" t="s">
        <v>4382</v>
      </c>
      <c r="H918" s="12">
        <v>1</v>
      </c>
      <c r="I918" s="13" t="str">
        <f>HYPERLINK("http://www.ncbi.nlm.nih.gov/gene/60558", "60558")</f>
        <v>60558</v>
      </c>
      <c r="J918" s="13" t="str">
        <f>HYPERLINK("http://www.ncbi.nlm.nih.gov/nuccore/NM_021927", "NM_021927")</f>
        <v>NM_021927</v>
      </c>
      <c r="K918" s="12" t="s">
        <v>4383</v>
      </c>
      <c r="L918" s="13" t="str">
        <f>HYPERLINK("http://asia.ensembl.org/Homo_sapiens/Gene/Summary?g=ENSG00000151806", "ENSG00000151806")</f>
        <v>ENSG00000151806</v>
      </c>
      <c r="M918" s="12" t="s">
        <v>13219</v>
      </c>
      <c r="N918" s="12" t="s">
        <v>13220</v>
      </c>
    </row>
    <row r="919" spans="1:14">
      <c r="A919" s="12" t="s">
        <v>302</v>
      </c>
      <c r="B919" s="8">
        <v>360.27096924985602</v>
      </c>
      <c r="C919" s="12">
        <v>149.894070837101</v>
      </c>
      <c r="D919" s="8">
        <v>1.2651390859982099</v>
      </c>
      <c r="E919" s="12">
        <v>3.69487345184492E-3</v>
      </c>
      <c r="F919" s="8" t="s">
        <v>303</v>
      </c>
      <c r="G919" s="12" t="s">
        <v>304</v>
      </c>
      <c r="H919" s="12">
        <v>1</v>
      </c>
      <c r="I919" s="13" t="str">
        <f>HYPERLINK("http://www.ncbi.nlm.nih.gov/gene/219749", "219749")</f>
        <v>219749</v>
      </c>
      <c r="J919" s="13" t="str">
        <f>HYPERLINK("http://www.ncbi.nlm.nih.gov/nuccore/NM_145011", "NM_145011")</f>
        <v>NM_145011</v>
      </c>
      <c r="K919" s="12" t="s">
        <v>305</v>
      </c>
      <c r="L919" s="13" t="str">
        <f>HYPERLINK("http://asia.ensembl.org/Homo_sapiens/Gene/Summary?g=ENSG00000175395", "ENSG00000175395")</f>
        <v>ENSG00000175395</v>
      </c>
      <c r="M919" s="12" t="s">
        <v>11938</v>
      </c>
      <c r="N919" s="12" t="s">
        <v>306</v>
      </c>
    </row>
    <row r="920" spans="1:14">
      <c r="A920" s="12" t="s">
        <v>10607</v>
      </c>
      <c r="B920" s="8">
        <v>1657.0534756841801</v>
      </c>
      <c r="C920" s="12">
        <v>689.51770074379601</v>
      </c>
      <c r="D920" s="8">
        <v>1.2649606682819301</v>
      </c>
      <c r="E920" s="12">
        <v>6.3584587724234299E-3</v>
      </c>
      <c r="F920" s="8" t="s">
        <v>10608</v>
      </c>
      <c r="G920" s="12" t="s">
        <v>15626</v>
      </c>
      <c r="H920" s="12">
        <v>1</v>
      </c>
      <c r="I920" s="13" t="str">
        <f>HYPERLINK("http://www.ncbi.nlm.nih.gov/gene/157", "157")</f>
        <v>157</v>
      </c>
      <c r="J920" s="13" t="str">
        <f>HYPERLINK("http://www.ncbi.nlm.nih.gov/nuccore/NM_005160", "NM_005160")</f>
        <v>NM_005160</v>
      </c>
      <c r="K920" s="12" t="s">
        <v>10609</v>
      </c>
      <c r="L920" s="13" t="str">
        <f>HYPERLINK("http://asia.ensembl.org/Homo_sapiens/Gene/Summary?g=ENSG00000100077", "ENSG00000100077")</f>
        <v>ENSG00000100077</v>
      </c>
      <c r="M920" s="12" t="s">
        <v>15627</v>
      </c>
      <c r="N920" s="12" t="s">
        <v>15628</v>
      </c>
    </row>
    <row r="921" spans="1:14">
      <c r="A921" s="12" t="s">
        <v>884</v>
      </c>
      <c r="B921" s="8">
        <v>352.59308122660599</v>
      </c>
      <c r="C921" s="12">
        <v>146.72377741629799</v>
      </c>
      <c r="D921" s="8">
        <v>1.2649014787564099</v>
      </c>
      <c r="E921" s="12">
        <v>5.2137365230141997E-3</v>
      </c>
      <c r="F921" s="8" t="s">
        <v>885</v>
      </c>
      <c r="G921" s="12" t="s">
        <v>886</v>
      </c>
      <c r="H921" s="12">
        <v>1</v>
      </c>
      <c r="I921" s="13" t="str">
        <f>HYPERLINK("http://www.ncbi.nlm.nih.gov/gene/57561", "57561")</f>
        <v>57561</v>
      </c>
      <c r="J921" s="13" t="str">
        <f>HYPERLINK("http://www.ncbi.nlm.nih.gov/nuccore/NM_020801", "NM_020801")</f>
        <v>NM_020801</v>
      </c>
      <c r="K921" s="12" t="s">
        <v>887</v>
      </c>
      <c r="L921" s="13" t="str">
        <f>HYPERLINK("http://asia.ensembl.org/Homo_sapiens/Gene/Summary?g=ENSG00000113369", "ENSG00000113369")</f>
        <v>ENSG00000113369</v>
      </c>
      <c r="M921" s="12" t="s">
        <v>12154</v>
      </c>
      <c r="N921" s="12" t="s">
        <v>888</v>
      </c>
    </row>
    <row r="922" spans="1:14">
      <c r="A922" s="12" t="s">
        <v>8132</v>
      </c>
      <c r="B922" s="8">
        <v>1689.1219718760799</v>
      </c>
      <c r="C922" s="12">
        <v>703.21523138785506</v>
      </c>
      <c r="D922" s="8">
        <v>1.26423528504725</v>
      </c>
      <c r="E922" s="12">
        <v>8.4329343864489195E-4</v>
      </c>
      <c r="F922" s="8" t="s">
        <v>8133</v>
      </c>
      <c r="G922" s="12" t="s">
        <v>14683</v>
      </c>
      <c r="H922" s="12">
        <v>4</v>
      </c>
      <c r="I922" s="12" t="s">
        <v>8134</v>
      </c>
      <c r="J922" s="12" t="s">
        <v>14684</v>
      </c>
      <c r="K922" s="12" t="s">
        <v>14685</v>
      </c>
      <c r="L922" s="12" t="s">
        <v>8135</v>
      </c>
      <c r="M922" s="12" t="s">
        <v>14686</v>
      </c>
      <c r="N922" s="12" t="s">
        <v>14687</v>
      </c>
    </row>
    <row r="923" spans="1:14">
      <c r="A923" s="12" t="s">
        <v>9854</v>
      </c>
      <c r="B923" s="8">
        <v>1224.13897401034</v>
      </c>
      <c r="C923" s="12">
        <v>509.80552991610301</v>
      </c>
      <c r="D923" s="8">
        <v>1.2637484259370999</v>
      </c>
      <c r="E923" s="12">
        <v>6.6242467760823601E-4</v>
      </c>
      <c r="F923" s="8" t="s">
        <v>5699</v>
      </c>
      <c r="G923" s="12" t="s">
        <v>15200</v>
      </c>
      <c r="H923" s="12">
        <v>1</v>
      </c>
      <c r="I923" s="13" t="str">
        <f>HYPERLINK("http://www.ncbi.nlm.nih.gov/gene/5495", "5495")</f>
        <v>5495</v>
      </c>
      <c r="J923" s="12" t="s">
        <v>15201</v>
      </c>
      <c r="K923" s="12" t="s">
        <v>15202</v>
      </c>
      <c r="L923" s="13" t="str">
        <f>HYPERLINK("http://asia.ensembl.org/Homo_sapiens/Gene/Summary?g=ENSG00000138032", "ENSG00000138032")</f>
        <v>ENSG00000138032</v>
      </c>
      <c r="M923" s="12" t="s">
        <v>13887</v>
      </c>
      <c r="N923" s="12" t="s">
        <v>13888</v>
      </c>
    </row>
    <row r="924" spans="1:14">
      <c r="A924" s="12" t="s">
        <v>7780</v>
      </c>
      <c r="B924" s="8">
        <v>1577.76989276173</v>
      </c>
      <c r="C924" s="12">
        <v>657.11799618048997</v>
      </c>
      <c r="D924" s="8">
        <v>1.2636624550369</v>
      </c>
      <c r="E924" s="12">
        <v>2.4128629455098601E-4</v>
      </c>
      <c r="F924" s="8" t="s">
        <v>3670</v>
      </c>
      <c r="G924" s="12" t="s">
        <v>14547</v>
      </c>
      <c r="H924" s="12">
        <v>1</v>
      </c>
      <c r="I924" s="13" t="str">
        <f>HYPERLINK("http://www.ncbi.nlm.nih.gov/gene/23451", "23451")</f>
        <v>23451</v>
      </c>
      <c r="J924" s="13" t="str">
        <f>HYPERLINK("http://www.ncbi.nlm.nih.gov/nuccore/NM_012433", "NM_012433")</f>
        <v>NM_012433</v>
      </c>
      <c r="K924" s="12" t="s">
        <v>3671</v>
      </c>
      <c r="L924" s="13" t="str">
        <f>HYPERLINK("http://asia.ensembl.org/Homo_sapiens/Gene/Summary?g=ENSG00000115524", "ENSG00000115524")</f>
        <v>ENSG00000115524</v>
      </c>
      <c r="M924" s="12" t="s">
        <v>14548</v>
      </c>
      <c r="N924" s="12" t="s">
        <v>14549</v>
      </c>
    </row>
    <row r="925" spans="1:14">
      <c r="A925" s="12" t="s">
        <v>787</v>
      </c>
      <c r="B925" s="8">
        <v>780.40943141494097</v>
      </c>
      <c r="C925" s="12">
        <v>325.23093790182401</v>
      </c>
      <c r="D925" s="8">
        <v>1.2627667116539001</v>
      </c>
      <c r="E925" s="12">
        <v>4.6304546897352602E-3</v>
      </c>
      <c r="F925" s="8" t="s">
        <v>788</v>
      </c>
      <c r="G925" s="12" t="s">
        <v>789</v>
      </c>
      <c r="H925" s="12">
        <v>1</v>
      </c>
      <c r="I925" s="13" t="str">
        <f>HYPERLINK("http://www.ncbi.nlm.nih.gov/gene/55055", "55055")</f>
        <v>55055</v>
      </c>
      <c r="J925" s="13" t="str">
        <f>HYPERLINK("http://www.ncbi.nlm.nih.gov/nuccore/NM_017975", "NM_017975")</f>
        <v>NM_017975</v>
      </c>
      <c r="K925" s="12" t="s">
        <v>790</v>
      </c>
      <c r="L925" s="13" t="str">
        <f>HYPERLINK("http://asia.ensembl.org/Homo_sapiens/Gene/Summary?g=ENSG00000174442", "ENSG00000174442")</f>
        <v>ENSG00000174442</v>
      </c>
      <c r="M925" s="12" t="s">
        <v>12112</v>
      </c>
      <c r="N925" s="12" t="s">
        <v>12113</v>
      </c>
    </row>
    <row r="926" spans="1:14">
      <c r="A926" s="12" t="s">
        <v>3795</v>
      </c>
      <c r="B926" s="8">
        <v>1436.61481865114</v>
      </c>
      <c r="C926" s="12">
        <v>598.770836042219</v>
      </c>
      <c r="D926" s="8">
        <v>1.2625974423072099</v>
      </c>
      <c r="E926" s="12">
        <v>4.0146323686615897E-3</v>
      </c>
      <c r="F926" s="8" t="s">
        <v>3796</v>
      </c>
      <c r="G926" s="12" t="s">
        <v>3797</v>
      </c>
      <c r="H926" s="12">
        <v>1</v>
      </c>
      <c r="I926" s="13" t="str">
        <f>HYPERLINK("http://www.ncbi.nlm.nih.gov/gene/1106", "1106")</f>
        <v>1106</v>
      </c>
      <c r="J926" s="13" t="str">
        <f>HYPERLINK("http://www.ncbi.nlm.nih.gov/nuccore/NM_001271", "NM_001271")</f>
        <v>NM_001271</v>
      </c>
      <c r="K926" s="12" t="s">
        <v>3798</v>
      </c>
      <c r="L926" s="13" t="str">
        <f>HYPERLINK("http://asia.ensembl.org/Homo_sapiens/Gene/Summary?g=ENSG00000173575", "ENSG00000173575")</f>
        <v>ENSG00000173575</v>
      </c>
      <c r="M926" s="12" t="s">
        <v>13092</v>
      </c>
      <c r="N926" s="12" t="s">
        <v>13093</v>
      </c>
    </row>
    <row r="927" spans="1:14">
      <c r="A927" s="12" t="s">
        <v>368</v>
      </c>
      <c r="B927" s="8">
        <v>1215.0663525940499</v>
      </c>
      <c r="C927" s="12">
        <v>506.58770075889402</v>
      </c>
      <c r="D927" s="8">
        <v>1.26215114300095</v>
      </c>
      <c r="E927" s="12">
        <v>6.06441824184347E-3</v>
      </c>
      <c r="F927" s="8" t="s">
        <v>369</v>
      </c>
      <c r="G927" s="12" t="s">
        <v>370</v>
      </c>
      <c r="H927" s="12">
        <v>1</v>
      </c>
      <c r="I927" s="13" t="str">
        <f>HYPERLINK("http://www.ncbi.nlm.nih.gov/gene/9076", "9076")</f>
        <v>9076</v>
      </c>
      <c r="J927" s="13" t="str">
        <f>HYPERLINK("http://www.ncbi.nlm.nih.gov/nuccore/NM_021101", "NM_021101")</f>
        <v>NM_021101</v>
      </c>
      <c r="K927" s="12" t="s">
        <v>371</v>
      </c>
      <c r="L927" s="13" t="str">
        <f>HYPERLINK("http://asia.ensembl.org/Homo_sapiens/Gene/Summary?g=ENSG00000163347", "ENSG00000163347")</f>
        <v>ENSG00000163347</v>
      </c>
      <c r="M927" s="12" t="s">
        <v>11962</v>
      </c>
      <c r="N927" s="12" t="s">
        <v>372</v>
      </c>
    </row>
    <row r="928" spans="1:14">
      <c r="A928" s="12" t="s">
        <v>6682</v>
      </c>
      <c r="B928" s="8">
        <v>235.051392531646</v>
      </c>
      <c r="C928" s="12">
        <v>98.100286421635303</v>
      </c>
      <c r="D928" s="8">
        <v>1.2606469738436099</v>
      </c>
      <c r="E928" s="12">
        <v>6.97311186698859E-3</v>
      </c>
      <c r="F928" s="8" t="s">
        <v>6683</v>
      </c>
      <c r="G928" s="12" t="s">
        <v>6684</v>
      </c>
      <c r="H928" s="12">
        <v>1</v>
      </c>
      <c r="I928" s="13" t="str">
        <f>HYPERLINK("http://www.ncbi.nlm.nih.gov/gene/6885", "6885")</f>
        <v>6885</v>
      </c>
      <c r="J928" s="12" t="s">
        <v>14236</v>
      </c>
      <c r="K928" s="12" t="s">
        <v>14237</v>
      </c>
      <c r="L928" s="13" t="str">
        <f>HYPERLINK("http://asia.ensembl.org/Homo_sapiens/Gene/Summary?g=ENSG00000135341", "ENSG00000135341")</f>
        <v>ENSG00000135341</v>
      </c>
      <c r="M928" s="12" t="s">
        <v>14238</v>
      </c>
      <c r="N928" s="12" t="s">
        <v>14239</v>
      </c>
    </row>
    <row r="929" spans="1:14">
      <c r="A929" s="12" t="s">
        <v>10227</v>
      </c>
      <c r="B929" s="8">
        <v>607.23893969483697</v>
      </c>
      <c r="C929" s="12">
        <v>253.46191001336101</v>
      </c>
      <c r="D929" s="8">
        <v>1.2604953508827901</v>
      </c>
      <c r="E929" s="12">
        <v>2.5989474140762001E-2</v>
      </c>
      <c r="F929" s="8" t="s">
        <v>4069</v>
      </c>
      <c r="G929" s="12" t="s">
        <v>4070</v>
      </c>
      <c r="H929" s="12">
        <v>1</v>
      </c>
      <c r="I929" s="13" t="str">
        <f>HYPERLINK("http://www.ncbi.nlm.nih.gov/gene/100129128", "100129128")</f>
        <v>100129128</v>
      </c>
      <c r="J929" s="13" t="str">
        <f>HYPERLINK("http://www.ncbi.nlm.nih.gov/nuccore/NM_001126063", "NM_001126063")</f>
        <v>NM_001126063</v>
      </c>
      <c r="K929" s="12" t="s">
        <v>4071</v>
      </c>
      <c r="L929" s="13" t="str">
        <f>HYPERLINK("http://asia.ensembl.org/Homo_sapiens/Gene/Summary?g=ENSG00000256980", "ENSG00000256980")</f>
        <v>ENSG00000256980</v>
      </c>
      <c r="M929" s="12" t="s">
        <v>15327</v>
      </c>
      <c r="N929" s="12" t="s">
        <v>4072</v>
      </c>
    </row>
    <row r="930" spans="1:14">
      <c r="A930" s="12" t="s">
        <v>4819</v>
      </c>
      <c r="B930" s="8">
        <v>407.23789440036597</v>
      </c>
      <c r="C930" s="12">
        <v>170.060807597673</v>
      </c>
      <c r="D930" s="8">
        <v>1.2598211194638</v>
      </c>
      <c r="E930" s="12">
        <v>6.97834542281361E-3</v>
      </c>
      <c r="F930" s="8" t="s">
        <v>4820</v>
      </c>
      <c r="G930" s="12" t="s">
        <v>4821</v>
      </c>
      <c r="H930" s="12">
        <v>1</v>
      </c>
      <c r="I930" s="13" t="str">
        <f>HYPERLINK("http://www.ncbi.nlm.nih.gov/gene/58517", "58517")</f>
        <v>58517</v>
      </c>
      <c r="J930" s="13" t="str">
        <f>HYPERLINK("http://www.ncbi.nlm.nih.gov/nuccore/NM_021239", "NM_021239")</f>
        <v>NM_021239</v>
      </c>
      <c r="K930" s="12" t="s">
        <v>4822</v>
      </c>
      <c r="L930" s="13" t="str">
        <f>HYPERLINK("http://asia.ensembl.org/Homo_sapiens/Gene/Summary?g=ENSG00000119707", "ENSG00000119707")</f>
        <v>ENSG00000119707</v>
      </c>
      <c r="M930" s="12" t="s">
        <v>13411</v>
      </c>
      <c r="N930" s="12" t="s">
        <v>13412</v>
      </c>
    </row>
    <row r="931" spans="1:14">
      <c r="A931" s="12" t="s">
        <v>6811</v>
      </c>
      <c r="B931" s="8">
        <v>2453.2767693457999</v>
      </c>
      <c r="C931" s="12">
        <v>1024.6693059341601</v>
      </c>
      <c r="D931" s="8">
        <v>1.2595516221398999</v>
      </c>
      <c r="E931" s="12">
        <v>3.6525924766586402E-3</v>
      </c>
      <c r="F931" s="8" t="s">
        <v>6812</v>
      </c>
      <c r="G931" s="12" t="s">
        <v>6813</v>
      </c>
      <c r="H931" s="12">
        <v>1</v>
      </c>
      <c r="I931" s="13" t="str">
        <f>HYPERLINK("http://www.ncbi.nlm.nih.gov/gene/90321", "90321")</f>
        <v>90321</v>
      </c>
      <c r="J931" s="13" t="str">
        <f>HYPERLINK("http://www.ncbi.nlm.nih.gov/nuccore/NM_001010851", "NM_001010851")</f>
        <v>NM_001010851</v>
      </c>
      <c r="K931" s="12" t="s">
        <v>6814</v>
      </c>
      <c r="L931" s="13" t="str">
        <f>HYPERLINK("http://asia.ensembl.org/Homo_sapiens/Gene/Summary?g=ENSG00000196214", "ENSG00000196214")</f>
        <v>ENSG00000196214</v>
      </c>
      <c r="M931" s="12" t="s">
        <v>14266</v>
      </c>
      <c r="N931" s="12" t="s">
        <v>14267</v>
      </c>
    </row>
    <row r="932" spans="1:14">
      <c r="A932" s="12" t="s">
        <v>3462</v>
      </c>
      <c r="B932" s="8">
        <v>349.85580881459202</v>
      </c>
      <c r="C932" s="12">
        <v>146.19882483023201</v>
      </c>
      <c r="D932" s="8">
        <v>1.25882873085011</v>
      </c>
      <c r="E932" s="12">
        <v>8.6006847713195906E-3</v>
      </c>
      <c r="F932" s="8" t="s">
        <v>3463</v>
      </c>
      <c r="G932" s="12" t="s">
        <v>12999</v>
      </c>
      <c r="H932" s="12">
        <v>1</v>
      </c>
      <c r="I932" s="13" t="str">
        <f>HYPERLINK("http://www.ncbi.nlm.nih.gov/gene/152926", "152926")</f>
        <v>152926</v>
      </c>
      <c r="J932" s="13" t="str">
        <f>HYPERLINK("http://www.ncbi.nlm.nih.gov/nuccore/NM_152542", "NM_152542")</f>
        <v>NM_152542</v>
      </c>
      <c r="K932" s="12" t="s">
        <v>3464</v>
      </c>
      <c r="L932" s="13" t="str">
        <f>HYPERLINK("http://asia.ensembl.org/Homo_sapiens/Gene/Summary?g=ENSG00000163644", "ENSG00000163644")</f>
        <v>ENSG00000163644</v>
      </c>
      <c r="M932" s="12" t="s">
        <v>13000</v>
      </c>
      <c r="N932" s="12" t="s">
        <v>13001</v>
      </c>
    </row>
    <row r="933" spans="1:14">
      <c r="A933" s="12" t="s">
        <v>11623</v>
      </c>
      <c r="B933" s="8">
        <v>32467.6881267688</v>
      </c>
      <c r="C933" s="12">
        <v>13568.074513448501</v>
      </c>
      <c r="D933" s="8">
        <v>1.2587886626102001</v>
      </c>
      <c r="E933" s="12">
        <v>1.44714080873502E-2</v>
      </c>
      <c r="F933" s="8" t="s">
        <v>11624</v>
      </c>
      <c r="G933" s="12" t="s">
        <v>11625</v>
      </c>
      <c r="H933" s="12">
        <v>1</v>
      </c>
      <c r="I933" s="13" t="str">
        <f>HYPERLINK("http://www.ncbi.nlm.nih.gov/gene/5756", "5756")</f>
        <v>5756</v>
      </c>
      <c r="J933" s="12" t="s">
        <v>16166</v>
      </c>
      <c r="K933" s="12" t="s">
        <v>16167</v>
      </c>
      <c r="L933" s="13" t="str">
        <f>HYPERLINK("http://asia.ensembl.org/Homo_sapiens/Gene/Summary?g=ENSG00000151239", "ENSG00000151239")</f>
        <v>ENSG00000151239</v>
      </c>
      <c r="M933" s="12" t="s">
        <v>16168</v>
      </c>
      <c r="N933" s="12" t="s">
        <v>16169</v>
      </c>
    </row>
    <row r="934" spans="1:14">
      <c r="A934" s="12" t="s">
        <v>10733</v>
      </c>
      <c r="B934" s="8">
        <v>881.60991965963206</v>
      </c>
      <c r="C934" s="12">
        <v>368.42147521250803</v>
      </c>
      <c r="D934" s="8">
        <v>1.2587832985734599</v>
      </c>
      <c r="E934" s="12">
        <v>5.0013513974205004E-3</v>
      </c>
      <c r="F934" s="8" t="s">
        <v>2313</v>
      </c>
      <c r="G934" s="12" t="s">
        <v>15785</v>
      </c>
      <c r="H934" s="12">
        <v>1</v>
      </c>
      <c r="I934" s="13" t="str">
        <f>HYPERLINK("http://www.ncbi.nlm.nih.gov/gene/285282", "285282")</f>
        <v>285282</v>
      </c>
      <c r="J934" s="13" t="str">
        <f>HYPERLINK("http://www.ncbi.nlm.nih.gov/nuccore/NM_173825", "NM_173825")</f>
        <v>NM_173825</v>
      </c>
      <c r="K934" s="12" t="s">
        <v>2314</v>
      </c>
      <c r="L934" s="13" t="str">
        <f>HYPERLINK("http://asia.ensembl.org/Homo_sapiens/Gene/Summary?g=ENSG00000144840", "ENSG00000144840")</f>
        <v>ENSG00000144840</v>
      </c>
      <c r="M934" s="12" t="s">
        <v>15786</v>
      </c>
      <c r="N934" s="12" t="s">
        <v>15787</v>
      </c>
    </row>
    <row r="935" spans="1:14">
      <c r="A935" s="12" t="s">
        <v>4891</v>
      </c>
      <c r="B935" s="8">
        <v>1496.72045876828</v>
      </c>
      <c r="C935" s="12">
        <v>625.69931747146802</v>
      </c>
      <c r="D935" s="8">
        <v>1.25826336018352</v>
      </c>
      <c r="E935" s="12">
        <v>1.11157531347882E-4</v>
      </c>
      <c r="F935" s="8" t="s">
        <v>4892</v>
      </c>
      <c r="G935" s="12" t="s">
        <v>13453</v>
      </c>
      <c r="H935" s="12">
        <v>1</v>
      </c>
      <c r="I935" s="13" t="str">
        <f>HYPERLINK("http://www.ncbi.nlm.nih.gov/gene/3655", "3655")</f>
        <v>3655</v>
      </c>
      <c r="J935" s="12" t="s">
        <v>13454</v>
      </c>
      <c r="K935" s="12" t="s">
        <v>13455</v>
      </c>
      <c r="L935" s="13" t="str">
        <f>HYPERLINK("http://asia.ensembl.org/Homo_sapiens/Gene/Summary?g=ENSG00000091409", "ENSG00000091409")</f>
        <v>ENSG00000091409</v>
      </c>
      <c r="M935" s="12" t="s">
        <v>13456</v>
      </c>
      <c r="N935" s="12" t="s">
        <v>13457</v>
      </c>
    </row>
    <row r="936" spans="1:14">
      <c r="A936" s="12" t="s">
        <v>6765</v>
      </c>
      <c r="B936" s="8">
        <v>2760.3265820367201</v>
      </c>
      <c r="C936" s="12">
        <v>1154.1712530897501</v>
      </c>
      <c r="D936" s="8">
        <v>1.2579816630226599</v>
      </c>
      <c r="E936" s="12">
        <v>2.4091291727144702E-3</v>
      </c>
      <c r="F936" s="8" t="s">
        <v>6766</v>
      </c>
      <c r="G936" s="12" t="s">
        <v>6767</v>
      </c>
      <c r="H936" s="12">
        <v>1</v>
      </c>
      <c r="I936" s="13" t="str">
        <f>HYPERLINK("http://www.ncbi.nlm.nih.gov/gene/114876", "114876")</f>
        <v>114876</v>
      </c>
      <c r="J936" s="12" t="s">
        <v>14252</v>
      </c>
      <c r="K936" s="12" t="s">
        <v>14253</v>
      </c>
      <c r="L936" s="13" t="str">
        <f>HYPERLINK("http://asia.ensembl.org/Homo_sapiens/Gene/Summary?g=ENSG00000141447", "ENSG00000141447")</f>
        <v>ENSG00000141447</v>
      </c>
      <c r="M936" s="12" t="s">
        <v>14254</v>
      </c>
      <c r="N936" s="12" t="s">
        <v>14255</v>
      </c>
    </row>
    <row r="937" spans="1:14">
      <c r="A937" s="12" t="s">
        <v>3053</v>
      </c>
      <c r="B937" s="8">
        <v>8556.98950118004</v>
      </c>
      <c r="C937" s="12">
        <v>3578.74824285356</v>
      </c>
      <c r="D937" s="8">
        <v>1.2576482636309501</v>
      </c>
      <c r="E937" s="12">
        <v>3.83150435205879E-3</v>
      </c>
      <c r="F937" s="8" t="s">
        <v>3054</v>
      </c>
      <c r="G937" s="12" t="s">
        <v>12876</v>
      </c>
      <c r="H937" s="12">
        <v>1</v>
      </c>
      <c r="I937" s="13" t="str">
        <f>HYPERLINK("http://www.ncbi.nlm.nih.gov/gene/22916", "22916")</f>
        <v>22916</v>
      </c>
      <c r="J937" s="12" t="s">
        <v>12877</v>
      </c>
      <c r="K937" s="12" t="s">
        <v>12878</v>
      </c>
      <c r="L937" s="13" t="str">
        <f>HYPERLINK("http://asia.ensembl.org/Homo_sapiens/Gene/Summary?g=ENSG00000114503", "ENSG00000114503")</f>
        <v>ENSG00000114503</v>
      </c>
      <c r="M937" s="12" t="s">
        <v>12879</v>
      </c>
      <c r="N937" s="12" t="s">
        <v>12880</v>
      </c>
    </row>
    <row r="938" spans="1:14">
      <c r="A938" s="12" t="s">
        <v>6875</v>
      </c>
      <c r="B938" s="8">
        <v>155.92959901136601</v>
      </c>
      <c r="C938" s="12">
        <v>65.2915827505647</v>
      </c>
      <c r="D938" s="8">
        <v>1.25592589086046</v>
      </c>
      <c r="E938" s="12">
        <v>1.7386020079974099E-3</v>
      </c>
      <c r="F938" s="8" t="s">
        <v>6734</v>
      </c>
      <c r="G938" s="12" t="s">
        <v>6735</v>
      </c>
      <c r="H938" s="12">
        <v>1</v>
      </c>
      <c r="I938" s="13" t="str">
        <f>HYPERLINK("http://www.ncbi.nlm.nih.gov/gene/166379", "166379")</f>
        <v>166379</v>
      </c>
      <c r="J938" s="12" t="s">
        <v>14291</v>
      </c>
      <c r="K938" s="12" t="s">
        <v>14292</v>
      </c>
      <c r="L938" s="13" t="str">
        <f>HYPERLINK("http://asia.ensembl.org/Homo_sapiens/Gene/Summary?g=ENSG00000181004", "ENSG00000181004")</f>
        <v>ENSG00000181004</v>
      </c>
      <c r="M938" s="12" t="s">
        <v>14293</v>
      </c>
      <c r="N938" s="12" t="s">
        <v>14294</v>
      </c>
    </row>
    <row r="939" spans="1:14">
      <c r="A939" s="12" t="s">
        <v>10703</v>
      </c>
      <c r="B939" s="8">
        <v>166.15365168493901</v>
      </c>
      <c r="C939" s="12">
        <v>69.597198530861604</v>
      </c>
      <c r="D939" s="8">
        <v>1.25541686047311</v>
      </c>
      <c r="E939" s="12">
        <v>9.0462523411975592E-3</v>
      </c>
      <c r="F939" s="8" t="s">
        <v>6614</v>
      </c>
      <c r="G939" s="12" t="s">
        <v>6615</v>
      </c>
      <c r="H939" s="12">
        <v>1</v>
      </c>
      <c r="I939" s="13" t="str">
        <f>HYPERLINK("http://www.ncbi.nlm.nih.gov/gene/54554", "54554")</f>
        <v>54554</v>
      </c>
      <c r="J939" s="13" t="str">
        <f>HYPERLINK("http://www.ncbi.nlm.nih.gov/nuccore/NM_019069", "NM_019069")</f>
        <v>NM_019069</v>
      </c>
      <c r="K939" s="12" t="s">
        <v>6616</v>
      </c>
      <c r="L939" s="13" t="str">
        <f>HYPERLINK("http://asia.ensembl.org/Homo_sapiens/Gene/Summary?g=ENSG00000196981", "ENSG00000196981")</f>
        <v>ENSG00000196981</v>
      </c>
      <c r="M939" s="12" t="s">
        <v>6617</v>
      </c>
      <c r="N939" s="12" t="s">
        <v>6618</v>
      </c>
    </row>
    <row r="940" spans="1:14">
      <c r="A940" s="12" t="s">
        <v>5037</v>
      </c>
      <c r="B940" s="8">
        <v>1093.73776039163</v>
      </c>
      <c r="C940" s="12">
        <v>458.53195834802801</v>
      </c>
      <c r="D940" s="8">
        <v>1.2541726782785001</v>
      </c>
      <c r="E940" s="12">
        <v>2.32923556023028E-4</v>
      </c>
      <c r="F940" s="8" t="s">
        <v>5038</v>
      </c>
      <c r="G940" s="12" t="s">
        <v>5039</v>
      </c>
      <c r="H940" s="12">
        <v>1</v>
      </c>
      <c r="I940" s="13" t="str">
        <f>HYPERLINK("http://www.ncbi.nlm.nih.gov/gene/84930", "84930")</f>
        <v>84930</v>
      </c>
      <c r="J940" s="12" t="s">
        <v>13544</v>
      </c>
      <c r="K940" s="12" t="s">
        <v>13545</v>
      </c>
      <c r="L940" s="13" t="str">
        <f>HYPERLINK("http://asia.ensembl.org/Homo_sapiens/Gene/Summary?g=ENSG00000120539", "ENSG00000120539")</f>
        <v>ENSG00000120539</v>
      </c>
      <c r="M940" s="12" t="s">
        <v>13546</v>
      </c>
      <c r="N940" s="12" t="s">
        <v>13547</v>
      </c>
    </row>
    <row r="941" spans="1:14">
      <c r="A941" s="12" t="s">
        <v>8742</v>
      </c>
      <c r="B941" s="8">
        <v>1478.4773706998501</v>
      </c>
      <c r="C941" s="12">
        <v>619.97342799900002</v>
      </c>
      <c r="D941" s="8">
        <v>1.25383387383711</v>
      </c>
      <c r="E941" s="12">
        <v>1.3877572671485499E-3</v>
      </c>
      <c r="F941" s="8" t="s">
        <v>38</v>
      </c>
      <c r="G941" s="12" t="s">
        <v>38</v>
      </c>
      <c r="H941" s="12">
        <v>1</v>
      </c>
      <c r="I941" s="12" t="s">
        <v>38</v>
      </c>
      <c r="J941" s="12" t="s">
        <v>38</v>
      </c>
      <c r="K941" s="12" t="s">
        <v>38</v>
      </c>
      <c r="L941" s="13" t="str">
        <f>HYPERLINK("http://asia.ensembl.org/Homo_sapiens/Gene/Summary?g=ENSG00000162819", "ENSG00000162819")</f>
        <v>ENSG00000162819</v>
      </c>
      <c r="M941" s="12" t="s">
        <v>8743</v>
      </c>
      <c r="N941" s="12" t="s">
        <v>14844</v>
      </c>
    </row>
    <row r="942" spans="1:14">
      <c r="A942" s="12" t="s">
        <v>6529</v>
      </c>
      <c r="B942" s="8">
        <v>1006.8765967194</v>
      </c>
      <c r="C942" s="12">
        <v>422.30956131878003</v>
      </c>
      <c r="D942" s="8">
        <v>1.25351406075609</v>
      </c>
      <c r="E942" s="12">
        <v>1.4424722576086501E-2</v>
      </c>
      <c r="F942" s="8" t="s">
        <v>6530</v>
      </c>
      <c r="G942" s="12" t="s">
        <v>14211</v>
      </c>
      <c r="H942" s="12">
        <v>1</v>
      </c>
      <c r="I942" s="13" t="str">
        <f>HYPERLINK("http://www.ncbi.nlm.nih.gov/gene/9917", "9917")</f>
        <v>9917</v>
      </c>
      <c r="J942" s="13" t="str">
        <f>HYPERLINK("http://www.ncbi.nlm.nih.gov/nuccore/NM_014864", "NM_014864")</f>
        <v>NM_014864</v>
      </c>
      <c r="K942" s="12" t="s">
        <v>6531</v>
      </c>
      <c r="L942" s="13" t="str">
        <f>HYPERLINK("http://asia.ensembl.org/Homo_sapiens/Gene/Summary?g=ENSG00000116199", "ENSG00000116199")</f>
        <v>ENSG00000116199</v>
      </c>
      <c r="M942" s="12" t="s">
        <v>14212</v>
      </c>
      <c r="N942" s="12" t="s">
        <v>14213</v>
      </c>
    </row>
    <row r="943" spans="1:14">
      <c r="A943" s="12" t="s">
        <v>2125</v>
      </c>
      <c r="B943" s="8">
        <v>1553.00803747493</v>
      </c>
      <c r="C943" s="12">
        <v>651.37501944008602</v>
      </c>
      <c r="D943" s="8">
        <v>1.2535049984766999</v>
      </c>
      <c r="E943" s="12">
        <v>1.42489321046244E-3</v>
      </c>
      <c r="F943" s="8" t="s">
        <v>2126</v>
      </c>
      <c r="G943" s="12" t="s">
        <v>2127</v>
      </c>
      <c r="H943" s="12">
        <v>1</v>
      </c>
      <c r="I943" s="13" t="str">
        <f>HYPERLINK("http://www.ncbi.nlm.nih.gov/gene/51776", "51776")</f>
        <v>51776</v>
      </c>
      <c r="J943" s="13" t="str">
        <f>HYPERLINK("http://www.ncbi.nlm.nih.gov/nuccore/NM_133646", "NM_133646")</f>
        <v>NM_133646</v>
      </c>
      <c r="K943" s="12" t="s">
        <v>2128</v>
      </c>
      <c r="L943" s="13" t="str">
        <f>HYPERLINK("http://asia.ensembl.org/Homo_sapiens/Gene/Summary?g=ENSG00000091436", "ENSG00000091436")</f>
        <v>ENSG00000091436</v>
      </c>
      <c r="M943" s="12" t="s">
        <v>12552</v>
      </c>
      <c r="N943" s="12" t="s">
        <v>12553</v>
      </c>
    </row>
    <row r="944" spans="1:14">
      <c r="A944" s="12" t="s">
        <v>8834</v>
      </c>
      <c r="B944" s="8">
        <v>741.32446173234803</v>
      </c>
      <c r="C944" s="12">
        <v>310.96297752749899</v>
      </c>
      <c r="D944" s="8">
        <v>1.253362290341</v>
      </c>
      <c r="E944" s="12">
        <v>2.7149342317127302E-3</v>
      </c>
      <c r="F944" s="8" t="s">
        <v>8148</v>
      </c>
      <c r="G944" s="12" t="s">
        <v>14919</v>
      </c>
      <c r="H944" s="12">
        <v>1</v>
      </c>
      <c r="I944" s="13" t="str">
        <f>HYPERLINK("http://www.ncbi.nlm.nih.gov/gene/27316", "27316")</f>
        <v>27316</v>
      </c>
      <c r="J944" s="13" t="str">
        <f>HYPERLINK("http://www.ncbi.nlm.nih.gov/nuccore/NM_001164803", "NM_001164803")</f>
        <v>NM_001164803</v>
      </c>
      <c r="K944" s="12" t="s">
        <v>8835</v>
      </c>
      <c r="L944" s="13" t="str">
        <f>HYPERLINK("http://asia.ensembl.org/Homo_sapiens/Gene/Summary?g=ENSG00000147274", "ENSG00000147274")</f>
        <v>ENSG00000147274</v>
      </c>
      <c r="M944" s="12" t="s">
        <v>14920</v>
      </c>
      <c r="N944" s="12" t="s">
        <v>14921</v>
      </c>
    </row>
    <row r="945" spans="1:14">
      <c r="A945" s="12" t="s">
        <v>3338</v>
      </c>
      <c r="B945" s="8">
        <v>1673.5277350434401</v>
      </c>
      <c r="C945" s="12">
        <v>702.16147264851202</v>
      </c>
      <c r="D945" s="8">
        <v>1.25301771738483</v>
      </c>
      <c r="E945" s="12">
        <v>4.0457803873154799E-2</v>
      </c>
      <c r="F945" s="8" t="s">
        <v>3339</v>
      </c>
      <c r="G945" s="12" t="s">
        <v>12949</v>
      </c>
      <c r="H945" s="12">
        <v>1</v>
      </c>
      <c r="I945" s="13" t="str">
        <f>HYPERLINK("http://www.ncbi.nlm.nih.gov/gene/80351", "80351")</f>
        <v>80351</v>
      </c>
      <c r="J945" s="13" t="str">
        <f>HYPERLINK("http://www.ncbi.nlm.nih.gov/nuccore/NM_025235", "NM_025235")</f>
        <v>NM_025235</v>
      </c>
      <c r="K945" s="12" t="s">
        <v>3340</v>
      </c>
      <c r="L945" s="13" t="str">
        <f>HYPERLINK("http://asia.ensembl.org/Homo_sapiens/Gene/Summary?g=ENSG00000107854", "ENSG00000107854")</f>
        <v>ENSG00000107854</v>
      </c>
      <c r="M945" s="12" t="s">
        <v>3341</v>
      </c>
      <c r="N945" s="12" t="s">
        <v>3342</v>
      </c>
    </row>
    <row r="946" spans="1:14">
      <c r="A946" s="12" t="s">
        <v>8694</v>
      </c>
      <c r="B946" s="8">
        <v>119.140535902845</v>
      </c>
      <c r="C946" s="12">
        <v>50</v>
      </c>
      <c r="D946" s="8">
        <v>1.2526643535565301</v>
      </c>
      <c r="E946" s="12">
        <v>3.5170457122778902E-3</v>
      </c>
      <c r="F946" s="8" t="s">
        <v>2177</v>
      </c>
      <c r="G946" s="12" t="s">
        <v>14825</v>
      </c>
      <c r="H946" s="12">
        <v>1</v>
      </c>
      <c r="I946" s="13" t="str">
        <f>HYPERLINK("http://www.ncbi.nlm.nih.gov/gene/9633", "9633")</f>
        <v>9633</v>
      </c>
      <c r="J946" s="13" t="str">
        <f>HYPERLINK("http://www.ncbi.nlm.nih.gov/nuccore/NM_001039656", "NM_001039656")</f>
        <v>NM_001039656</v>
      </c>
      <c r="K946" s="12" t="s">
        <v>8695</v>
      </c>
      <c r="L946" s="13" t="str">
        <f>HYPERLINK("http://asia.ensembl.org/Homo_sapiens/Gene/Summary?g=ENSG00000132749", "ENSG00000132749")</f>
        <v>ENSG00000132749</v>
      </c>
      <c r="M946" s="12" t="s">
        <v>14826</v>
      </c>
      <c r="N946" s="12" t="s">
        <v>14827</v>
      </c>
    </row>
    <row r="947" spans="1:14">
      <c r="A947" s="12" t="s">
        <v>10809</v>
      </c>
      <c r="B947" s="8">
        <v>4544.4386253481898</v>
      </c>
      <c r="C947" s="12">
        <v>1907.21313390298</v>
      </c>
      <c r="D947" s="8">
        <v>1.25263601328514</v>
      </c>
      <c r="E947" s="12">
        <v>3.8507498427464101E-3</v>
      </c>
      <c r="F947" s="8" t="s">
        <v>502</v>
      </c>
      <c r="G947" s="12" t="s">
        <v>503</v>
      </c>
      <c r="H947" s="12">
        <v>1</v>
      </c>
      <c r="I947" s="13" t="str">
        <f>HYPERLINK("http://www.ncbi.nlm.nih.gov/gene/80762", "80762")</f>
        <v>80762</v>
      </c>
      <c r="J947" s="13" t="str">
        <f>HYPERLINK("http://www.ncbi.nlm.nih.gov/nuccore/NM_030571", "NM_030571")</f>
        <v>NM_030571</v>
      </c>
      <c r="K947" s="12" t="s">
        <v>504</v>
      </c>
      <c r="L947" s="13" t="str">
        <f>HYPERLINK("http://asia.ensembl.org/Homo_sapiens/Gene/Summary?g=ENSG00000131507", "ENSG00000131507")</f>
        <v>ENSG00000131507</v>
      </c>
      <c r="M947" s="12" t="s">
        <v>15912</v>
      </c>
      <c r="N947" s="12" t="s">
        <v>505</v>
      </c>
    </row>
    <row r="948" spans="1:14">
      <c r="A948" s="12" t="s">
        <v>11211</v>
      </c>
      <c r="B948" s="8">
        <v>3353.9995993142902</v>
      </c>
      <c r="C948" s="12">
        <v>1408.25263481921</v>
      </c>
      <c r="D948" s="8">
        <v>1.25197634571023</v>
      </c>
      <c r="E948" s="12">
        <v>5.7123397223473103E-5</v>
      </c>
      <c r="F948" s="8" t="s">
        <v>38</v>
      </c>
      <c r="G948" s="12" t="s">
        <v>38</v>
      </c>
      <c r="H948" s="12">
        <v>1</v>
      </c>
      <c r="I948" s="12" t="s">
        <v>38</v>
      </c>
      <c r="J948" s="12" t="s">
        <v>38</v>
      </c>
      <c r="K948" s="12" t="s">
        <v>38</v>
      </c>
      <c r="L948" s="13" t="str">
        <f>HYPERLINK("http://asia.ensembl.org/Homo_sapiens/Gene/Summary?g=ENSG00000124613", "ENSG00000124613")</f>
        <v>ENSG00000124613</v>
      </c>
      <c r="M948" s="12" t="s">
        <v>11212</v>
      </c>
      <c r="N948" s="12" t="s">
        <v>16033</v>
      </c>
    </row>
    <row r="949" spans="1:14">
      <c r="A949" s="12" t="s">
        <v>5255</v>
      </c>
      <c r="B949" s="8">
        <v>851.26500871176597</v>
      </c>
      <c r="C949" s="12">
        <v>357.55056893971999</v>
      </c>
      <c r="D949" s="8">
        <v>1.2514610306524401</v>
      </c>
      <c r="E949" s="12">
        <v>1.58871630022981E-3</v>
      </c>
      <c r="F949" s="8" t="s">
        <v>5256</v>
      </c>
      <c r="G949" s="12" t="s">
        <v>456</v>
      </c>
      <c r="H949" s="12">
        <v>1</v>
      </c>
      <c r="I949" s="13" t="str">
        <f>HYPERLINK("http://www.ncbi.nlm.nih.gov/gene/8886", "8886")</f>
        <v>8886</v>
      </c>
      <c r="J949" s="13" t="str">
        <f>HYPERLINK("http://www.ncbi.nlm.nih.gov/nuccore/NM_006773", "NM_006773")</f>
        <v>NM_006773</v>
      </c>
      <c r="K949" s="12" t="s">
        <v>5257</v>
      </c>
      <c r="L949" s="13" t="str">
        <f>HYPERLINK("http://asia.ensembl.org/Homo_sapiens/Gene/Summary?g=ENSG00000088205", "ENSG00000088205")</f>
        <v>ENSG00000088205</v>
      </c>
      <c r="M949" s="12" t="s">
        <v>13646</v>
      </c>
      <c r="N949" s="12" t="s">
        <v>13647</v>
      </c>
    </row>
    <row r="950" spans="1:14">
      <c r="A950" s="12" t="s">
        <v>8750</v>
      </c>
      <c r="B950" s="8">
        <v>574.47485986229003</v>
      </c>
      <c r="C950" s="12">
        <v>241.30509413420299</v>
      </c>
      <c r="D950" s="8">
        <v>1.251385386845</v>
      </c>
      <c r="E950" s="12">
        <v>1.7400475202560999E-3</v>
      </c>
      <c r="F950" s="8" t="s">
        <v>4499</v>
      </c>
      <c r="G950" s="12" t="s">
        <v>4500</v>
      </c>
      <c r="H950" s="12">
        <v>1</v>
      </c>
      <c r="I950" s="13" t="str">
        <f>HYPERLINK("http://www.ncbi.nlm.nih.gov/gene/4087", "4087")</f>
        <v>4087</v>
      </c>
      <c r="J950" s="12" t="s">
        <v>14849</v>
      </c>
      <c r="K950" s="12" t="s">
        <v>14850</v>
      </c>
      <c r="L950" s="13" t="str">
        <f>HYPERLINK("http://asia.ensembl.org/Homo_sapiens/Gene/Summary?g=ENSG00000175387", "ENSG00000175387")</f>
        <v>ENSG00000175387</v>
      </c>
      <c r="M950" s="12" t="s">
        <v>14851</v>
      </c>
      <c r="N950" s="12" t="s">
        <v>14852</v>
      </c>
    </row>
    <row r="951" spans="1:14">
      <c r="A951" s="12" t="s">
        <v>4403</v>
      </c>
      <c r="B951" s="8">
        <v>2743.1945594908698</v>
      </c>
      <c r="C951" s="12">
        <v>1152.58780194467</v>
      </c>
      <c r="D951" s="8">
        <v>1.2509802915252799</v>
      </c>
      <c r="E951" s="12">
        <v>5.1058395462679198E-3</v>
      </c>
      <c r="F951" s="8" t="s">
        <v>4404</v>
      </c>
      <c r="G951" s="12" t="s">
        <v>4405</v>
      </c>
      <c r="H951" s="12">
        <v>1</v>
      </c>
      <c r="I951" s="13" t="str">
        <f>HYPERLINK("http://www.ncbi.nlm.nih.gov/gene/24145", "24145")</f>
        <v>24145</v>
      </c>
      <c r="J951" s="13" t="str">
        <f>HYPERLINK("http://www.ncbi.nlm.nih.gov/nuccore/NM_015368", "NM_015368")</f>
        <v>NM_015368</v>
      </c>
      <c r="K951" s="12" t="s">
        <v>4406</v>
      </c>
      <c r="L951" s="13" t="str">
        <f>HYPERLINK("http://asia.ensembl.org/Homo_sapiens/Gene/Summary?g=ENSG00000110218", "ENSG00000110218")</f>
        <v>ENSG00000110218</v>
      </c>
      <c r="M951" s="12" t="s">
        <v>13227</v>
      </c>
      <c r="N951" s="12" t="s">
        <v>13228</v>
      </c>
    </row>
    <row r="952" spans="1:14">
      <c r="A952" s="12" t="s">
        <v>3829</v>
      </c>
      <c r="B952" s="8">
        <v>121.391028193878</v>
      </c>
      <c r="C952" s="12">
        <v>51.012445739797997</v>
      </c>
      <c r="D952" s="8">
        <v>1.2507406223256701</v>
      </c>
      <c r="E952" s="12">
        <v>3.1144467345259699E-4</v>
      </c>
      <c r="F952" s="8" t="s">
        <v>3830</v>
      </c>
      <c r="G952" s="12" t="s">
        <v>3831</v>
      </c>
      <c r="H952" s="12">
        <v>1</v>
      </c>
      <c r="I952" s="13" t="str">
        <f>HYPERLINK("http://www.ncbi.nlm.nih.gov/gene/132320", "132320")</f>
        <v>132320</v>
      </c>
      <c r="J952" s="13" t="str">
        <f>HYPERLINK("http://www.ncbi.nlm.nih.gov/nuccore/NM_144643", "NM_144643")</f>
        <v>NM_144643</v>
      </c>
      <c r="K952" s="12" t="s">
        <v>3832</v>
      </c>
      <c r="L952" s="13" t="str">
        <f>HYPERLINK("http://asia.ensembl.org/Homo_sapiens/Gene/Summary?g=ENSG00000151466", "ENSG00000151466")</f>
        <v>ENSG00000151466</v>
      </c>
      <c r="M952" s="12" t="s">
        <v>13102</v>
      </c>
      <c r="N952" s="12" t="s">
        <v>13103</v>
      </c>
    </row>
    <row r="953" spans="1:14">
      <c r="A953" s="12" t="s">
        <v>10553</v>
      </c>
      <c r="B953" s="8">
        <v>675.51224099797798</v>
      </c>
      <c r="C953" s="12">
        <v>283.89614569720698</v>
      </c>
      <c r="D953" s="8">
        <v>1.2506186504382399</v>
      </c>
      <c r="E953" s="12">
        <v>8.1018963408633997E-4</v>
      </c>
      <c r="F953" s="8" t="s">
        <v>1839</v>
      </c>
      <c r="G953" s="12" t="s">
        <v>12441</v>
      </c>
      <c r="H953" s="12">
        <v>1</v>
      </c>
      <c r="I953" s="13" t="str">
        <f>HYPERLINK("http://www.ncbi.nlm.nih.gov/gene/91801", "91801")</f>
        <v>91801</v>
      </c>
      <c r="J953" s="13" t="str">
        <f>HYPERLINK("http://www.ncbi.nlm.nih.gov/nuccore/NM_138775", "NM_138775")</f>
        <v>NM_138775</v>
      </c>
      <c r="K953" s="12" t="s">
        <v>1840</v>
      </c>
      <c r="L953" s="13" t="str">
        <f>HYPERLINK("http://asia.ensembl.org/Homo_sapiens/Gene/Summary?g=ENSG00000137760", "ENSG00000137760")</f>
        <v>ENSG00000137760</v>
      </c>
      <c r="M953" s="12" t="s">
        <v>12442</v>
      </c>
      <c r="N953" s="12" t="s">
        <v>12443</v>
      </c>
    </row>
    <row r="954" spans="1:14">
      <c r="A954" s="12" t="s">
        <v>159</v>
      </c>
      <c r="B954" s="8">
        <v>2054.0009963201501</v>
      </c>
      <c r="C954" s="12">
        <v>863.54497911727196</v>
      </c>
      <c r="D954" s="8">
        <v>1.25009365155875</v>
      </c>
      <c r="E954" s="12">
        <v>1.4621873332472101E-2</v>
      </c>
      <c r="F954" s="8" t="s">
        <v>160</v>
      </c>
      <c r="G954" s="12" t="s">
        <v>161</v>
      </c>
      <c r="H954" s="12">
        <v>1</v>
      </c>
      <c r="I954" s="13" t="str">
        <f>HYPERLINK("http://www.ncbi.nlm.nih.gov/gene/4752", "4752")</f>
        <v>4752</v>
      </c>
      <c r="J954" s="12" t="s">
        <v>11880</v>
      </c>
      <c r="K954" s="12" t="s">
        <v>11881</v>
      </c>
      <c r="L954" s="13" t="str">
        <f>HYPERLINK("http://asia.ensembl.org/Homo_sapiens/Gene/Summary?g=ENSG00000136098", "ENSG00000136098")</f>
        <v>ENSG00000136098</v>
      </c>
      <c r="M954" s="12" t="s">
        <v>11882</v>
      </c>
      <c r="N954" s="12" t="s">
        <v>11883</v>
      </c>
    </row>
    <row r="955" spans="1:14">
      <c r="A955" s="12" t="s">
        <v>5005</v>
      </c>
      <c r="B955" s="8">
        <v>592.06466264623998</v>
      </c>
      <c r="C955" s="12">
        <v>248.96050079795</v>
      </c>
      <c r="D955" s="8">
        <v>1.24983788163772</v>
      </c>
      <c r="E955" s="12">
        <v>2.0522201713616098E-3</v>
      </c>
      <c r="F955" s="8" t="s">
        <v>5006</v>
      </c>
      <c r="G955" s="12" t="s">
        <v>5007</v>
      </c>
      <c r="H955" s="12">
        <v>1</v>
      </c>
      <c r="I955" s="13" t="str">
        <f>HYPERLINK("http://www.ncbi.nlm.nih.gov/gene/23161", "23161")</f>
        <v>23161</v>
      </c>
      <c r="J955" s="13" t="str">
        <f>HYPERLINK("http://www.ncbi.nlm.nih.gov/nuccore/NM_015132", "NM_015132")</f>
        <v>NM_015132</v>
      </c>
      <c r="K955" s="12" t="s">
        <v>5008</v>
      </c>
      <c r="L955" s="13" t="str">
        <f>HYPERLINK("http://asia.ensembl.org/Homo_sapiens/Gene/Summary?g=ENSG00000071189", "ENSG00000071189")</f>
        <v>ENSG00000071189</v>
      </c>
      <c r="M955" s="12" t="s">
        <v>13522</v>
      </c>
      <c r="N955" s="12" t="s">
        <v>13523</v>
      </c>
    </row>
    <row r="956" spans="1:14">
      <c r="A956" s="12" t="s">
        <v>7791</v>
      </c>
      <c r="B956" s="8">
        <v>20135.819948265402</v>
      </c>
      <c r="C956" s="12">
        <v>8469.5289123250895</v>
      </c>
      <c r="D956" s="8">
        <v>1.2494105892102001</v>
      </c>
      <c r="E956" s="12">
        <v>1.1865166923817699E-2</v>
      </c>
      <c r="F956" s="8" t="s">
        <v>6827</v>
      </c>
      <c r="G956" s="12" t="s">
        <v>6828</v>
      </c>
      <c r="H956" s="12">
        <v>1</v>
      </c>
      <c r="I956" s="13" t="str">
        <f>HYPERLINK("http://www.ncbi.nlm.nih.gov/gene/3516", "3516")</f>
        <v>3516</v>
      </c>
      <c r="J956" s="12" t="s">
        <v>14354</v>
      </c>
      <c r="K956" s="12" t="s">
        <v>14355</v>
      </c>
      <c r="L956" s="13" t="str">
        <f>HYPERLINK("http://asia.ensembl.org/Homo_sapiens/Gene/Summary?g=ENSG00000168214", "ENSG00000168214")</f>
        <v>ENSG00000168214</v>
      </c>
      <c r="M956" s="12" t="s">
        <v>14356</v>
      </c>
      <c r="N956" s="12" t="s">
        <v>14357</v>
      </c>
    </row>
    <row r="957" spans="1:14">
      <c r="A957" s="12" t="s">
        <v>5782</v>
      </c>
      <c r="B957" s="8">
        <v>239.162897448363</v>
      </c>
      <c r="C957" s="12">
        <v>100.600512541087</v>
      </c>
      <c r="D957" s="8">
        <v>1.2493559388781601</v>
      </c>
      <c r="E957" s="12">
        <v>1.00463371285989E-2</v>
      </c>
      <c r="F957" s="8" t="s">
        <v>5783</v>
      </c>
      <c r="G957" s="12" t="s">
        <v>5784</v>
      </c>
      <c r="H957" s="12">
        <v>1</v>
      </c>
      <c r="I957" s="13" t="str">
        <f>HYPERLINK("http://www.ncbi.nlm.nih.gov/gene/26148", "26148")</f>
        <v>26148</v>
      </c>
      <c r="J957" s="13" t="str">
        <f>HYPERLINK("http://www.ncbi.nlm.nih.gov/nuccore/NM_015652", "NM_015652")</f>
        <v>NM_015652</v>
      </c>
      <c r="K957" s="12" t="s">
        <v>5785</v>
      </c>
      <c r="L957" s="13" t="str">
        <f>HYPERLINK("http://asia.ensembl.org/Homo_sapiens/Gene/Summary?g=ENSG00000155640", "ENSG00000155640")</f>
        <v>ENSG00000155640</v>
      </c>
      <c r="M957" s="12" t="s">
        <v>5786</v>
      </c>
      <c r="N957" s="12" t="s">
        <v>5787</v>
      </c>
    </row>
    <row r="958" spans="1:14">
      <c r="A958" s="12" t="s">
        <v>3281</v>
      </c>
      <c r="B958" s="8">
        <v>8617.9306662690196</v>
      </c>
      <c r="C958" s="12">
        <v>3625.4527601721902</v>
      </c>
      <c r="D958" s="8">
        <v>1.2491803160386501</v>
      </c>
      <c r="E958" s="12">
        <v>3.9954446284138903E-3</v>
      </c>
      <c r="F958" s="8" t="s">
        <v>3282</v>
      </c>
      <c r="G958" s="12" t="s">
        <v>12934</v>
      </c>
      <c r="H958" s="12">
        <v>1</v>
      </c>
      <c r="I958" s="13" t="str">
        <f>HYPERLINK("http://www.ncbi.nlm.nih.gov/gene/85476", "85476")</f>
        <v>85476</v>
      </c>
      <c r="J958" s="13" t="str">
        <f>HYPERLINK("http://www.ncbi.nlm.nih.gov/nuccore/NM_024996", "NM_024996")</f>
        <v>NM_024996</v>
      </c>
      <c r="K958" s="12" t="s">
        <v>3283</v>
      </c>
      <c r="L958" s="13" t="str">
        <f>HYPERLINK("http://asia.ensembl.org/Homo_sapiens/Gene/Summary?g=ENSG00000168827", "ENSG00000168827")</f>
        <v>ENSG00000168827</v>
      </c>
      <c r="M958" s="12" t="s">
        <v>12935</v>
      </c>
      <c r="N958" s="12" t="s">
        <v>12936</v>
      </c>
    </row>
    <row r="959" spans="1:14">
      <c r="A959" s="12" t="s">
        <v>9173</v>
      </c>
      <c r="B959" s="8">
        <v>3446.5617745291102</v>
      </c>
      <c r="C959" s="12">
        <v>1450.44988695807</v>
      </c>
      <c r="D959" s="8">
        <v>1.2486574224404601</v>
      </c>
      <c r="E959" s="12">
        <v>1.50309327491637E-2</v>
      </c>
      <c r="F959" s="8" t="s">
        <v>9174</v>
      </c>
      <c r="G959" s="12" t="s">
        <v>9175</v>
      </c>
      <c r="H959" s="12">
        <v>1</v>
      </c>
      <c r="I959" s="13" t="str">
        <f>HYPERLINK("http://www.ncbi.nlm.nih.gov/gene/440275", "440275")</f>
        <v>440275</v>
      </c>
      <c r="J959" s="13" t="str">
        <f>HYPERLINK("http://www.ncbi.nlm.nih.gov/nuccore/NM_001013703", "NM_001013703")</f>
        <v>NM_001013703</v>
      </c>
      <c r="K959" s="12" t="s">
        <v>9176</v>
      </c>
      <c r="L959" s="13" t="str">
        <f>HYPERLINK("http://asia.ensembl.org/Homo_sapiens/Gene/Summary?g=ENSG00000128829", "ENSG00000128829")</f>
        <v>ENSG00000128829</v>
      </c>
      <c r="M959" s="12" t="s">
        <v>15006</v>
      </c>
      <c r="N959" s="12" t="s">
        <v>15007</v>
      </c>
    </row>
    <row r="960" spans="1:14">
      <c r="A960" s="12" t="s">
        <v>8454</v>
      </c>
      <c r="B960" s="8">
        <v>179.99630861355701</v>
      </c>
      <c r="C960" s="12">
        <v>75.749617245796102</v>
      </c>
      <c r="D960" s="8">
        <v>1.2486568159483</v>
      </c>
      <c r="E960" s="12">
        <v>1.45993180245495E-3</v>
      </c>
      <c r="F960" s="8" t="s">
        <v>8455</v>
      </c>
      <c r="G960" s="12" t="s">
        <v>8456</v>
      </c>
      <c r="H960" s="12">
        <v>1</v>
      </c>
      <c r="I960" s="13" t="str">
        <f>HYPERLINK("http://www.ncbi.nlm.nih.gov/gene/64506", "64506")</f>
        <v>64506</v>
      </c>
      <c r="J960" s="12" t="s">
        <v>14744</v>
      </c>
      <c r="K960" s="12" t="s">
        <v>14745</v>
      </c>
      <c r="L960" s="13" t="str">
        <f>HYPERLINK("http://asia.ensembl.org/Homo_sapiens/Gene/Summary?g=ENSG00000277445", "ENSG00000277445")</f>
        <v>ENSG00000277445</v>
      </c>
      <c r="M960" s="12" t="s">
        <v>14746</v>
      </c>
      <c r="N960" s="12" t="s">
        <v>14747</v>
      </c>
    </row>
    <row r="961" spans="1:14">
      <c r="A961" s="12" t="s">
        <v>10258</v>
      </c>
      <c r="B961" s="8">
        <v>663.17545599154005</v>
      </c>
      <c r="C961" s="12">
        <v>279.27116969304097</v>
      </c>
      <c r="D961" s="8">
        <v>1.2477239679433001</v>
      </c>
      <c r="E961" s="12">
        <v>2.3053975933269E-3</v>
      </c>
      <c r="F961" s="8" t="s">
        <v>1546</v>
      </c>
      <c r="G961" s="12" t="s">
        <v>15341</v>
      </c>
      <c r="H961" s="12">
        <v>1</v>
      </c>
      <c r="I961" s="13" t="str">
        <f>HYPERLINK("http://www.ncbi.nlm.nih.gov/gene/3700", "3700")</f>
        <v>3700</v>
      </c>
      <c r="J961" s="12" t="s">
        <v>15342</v>
      </c>
      <c r="K961" s="12" t="s">
        <v>15343</v>
      </c>
      <c r="L961" s="13" t="str">
        <f>HYPERLINK("http://asia.ensembl.org/Homo_sapiens/Gene/Summary?g=ENSG00000055955", "ENSG00000055955")</f>
        <v>ENSG00000055955</v>
      </c>
      <c r="M961" s="12" t="s">
        <v>15344</v>
      </c>
      <c r="N961" s="12" t="s">
        <v>15345</v>
      </c>
    </row>
    <row r="962" spans="1:14">
      <c r="A962" s="12" t="s">
        <v>3380</v>
      </c>
      <c r="B962" s="8">
        <v>34766.516627942801</v>
      </c>
      <c r="C962" s="12">
        <v>14645.730272255099</v>
      </c>
      <c r="D962" s="8">
        <v>1.24721839458238</v>
      </c>
      <c r="E962" s="12">
        <v>8.8291071115169095E-3</v>
      </c>
      <c r="F962" s="8" t="s">
        <v>3381</v>
      </c>
      <c r="G962" s="12" t="s">
        <v>3382</v>
      </c>
      <c r="H962" s="12">
        <v>1</v>
      </c>
      <c r="I962" s="13" t="str">
        <f>HYPERLINK("http://www.ncbi.nlm.nih.gov/gene/11197", "11197")</f>
        <v>11197</v>
      </c>
      <c r="J962" s="13" t="str">
        <f>HYPERLINK("http://www.ncbi.nlm.nih.gov/nuccore/NM_007191", "NM_007191")</f>
        <v>NM_007191</v>
      </c>
      <c r="K962" s="12" t="s">
        <v>3383</v>
      </c>
      <c r="L962" s="13" t="str">
        <f>HYPERLINK("http://asia.ensembl.org/Homo_sapiens/Gene/Summary?g=ENSG00000156076", "ENSG00000156076")</f>
        <v>ENSG00000156076</v>
      </c>
      <c r="M962" s="12" t="s">
        <v>12959</v>
      </c>
      <c r="N962" s="12" t="s">
        <v>12960</v>
      </c>
    </row>
    <row r="963" spans="1:14">
      <c r="A963" s="12" t="s">
        <v>10583</v>
      </c>
      <c r="B963" s="8">
        <v>963.40607005788604</v>
      </c>
      <c r="C963" s="12">
        <v>406.00587323515498</v>
      </c>
      <c r="D963" s="8">
        <v>1.2466434164051601</v>
      </c>
      <c r="E963" s="12">
        <v>5.2130051478510801E-3</v>
      </c>
      <c r="F963" s="8" t="s">
        <v>4727</v>
      </c>
      <c r="G963" s="12" t="s">
        <v>4728</v>
      </c>
      <c r="H963" s="12">
        <v>1</v>
      </c>
      <c r="I963" s="13" t="str">
        <f>HYPERLINK("http://www.ncbi.nlm.nih.gov/gene/80854", "80854")</f>
        <v>80854</v>
      </c>
      <c r="J963" s="13" t="str">
        <f>HYPERLINK("http://www.ncbi.nlm.nih.gov/nuccore/NM_030648", "NM_030648")</f>
        <v>NM_030648</v>
      </c>
      <c r="K963" s="12" t="s">
        <v>4729</v>
      </c>
      <c r="L963" s="13" t="str">
        <f>HYPERLINK("http://asia.ensembl.org/Homo_sapiens/Gene/Summary?g=ENSG00000145391", "ENSG00000145391")</f>
        <v>ENSG00000145391</v>
      </c>
      <c r="M963" s="12" t="s">
        <v>15598</v>
      </c>
      <c r="N963" s="12" t="s">
        <v>15599</v>
      </c>
    </row>
    <row r="964" spans="1:14">
      <c r="A964" s="12" t="s">
        <v>5145</v>
      </c>
      <c r="B964" s="8">
        <v>12719.769965192299</v>
      </c>
      <c r="C964" s="12">
        <v>5364.1441771605396</v>
      </c>
      <c r="D964" s="8">
        <v>1.24565266042056</v>
      </c>
      <c r="E964" s="12">
        <v>5.3104789575234802E-3</v>
      </c>
      <c r="F964" s="8" t="s">
        <v>5146</v>
      </c>
      <c r="G964" s="12" t="s">
        <v>13604</v>
      </c>
      <c r="H964" s="12">
        <v>1</v>
      </c>
      <c r="I964" s="13" t="str">
        <f>HYPERLINK("http://www.ncbi.nlm.nih.gov/gene/23595", "23595")</f>
        <v>23595</v>
      </c>
      <c r="J964" s="12" t="s">
        <v>13605</v>
      </c>
      <c r="K964" s="12" t="s">
        <v>13606</v>
      </c>
      <c r="L964" s="13" t="str">
        <f>HYPERLINK("http://asia.ensembl.org/Homo_sapiens/Gene/Summary?g=ENSG00000135336", "ENSG00000135336")</f>
        <v>ENSG00000135336</v>
      </c>
      <c r="M964" s="12" t="s">
        <v>13607</v>
      </c>
      <c r="N964" s="12" t="s">
        <v>13608</v>
      </c>
    </row>
    <row r="965" spans="1:14">
      <c r="A965" s="12" t="s">
        <v>2693</v>
      </c>
      <c r="B965" s="8">
        <v>33692.676406379796</v>
      </c>
      <c r="C965" s="12">
        <v>14211.526886595801</v>
      </c>
      <c r="D965" s="8">
        <v>1.24537346863993</v>
      </c>
      <c r="E965" s="12">
        <v>9.4754336647383296E-4</v>
      </c>
      <c r="F965" s="8" t="s">
        <v>2694</v>
      </c>
      <c r="G965" s="12" t="s">
        <v>2695</v>
      </c>
      <c r="H965" s="12">
        <v>1</v>
      </c>
      <c r="I965" s="13" t="str">
        <f>HYPERLINK("http://www.ncbi.nlm.nih.gov/gene/440026", "440026")</f>
        <v>440026</v>
      </c>
      <c r="J965" s="12" t="s">
        <v>12748</v>
      </c>
      <c r="K965" s="12" t="s">
        <v>12749</v>
      </c>
      <c r="L965" s="13" t="str">
        <f>HYPERLINK("http://asia.ensembl.org/Homo_sapiens/Gene/Summary?g=ENSG00000166471", "ENSG00000166471")</f>
        <v>ENSG00000166471</v>
      </c>
      <c r="M965" s="12" t="s">
        <v>12750</v>
      </c>
      <c r="N965" s="12" t="s">
        <v>12751</v>
      </c>
    </row>
    <row r="966" spans="1:14">
      <c r="A966" s="12" t="s">
        <v>2188</v>
      </c>
      <c r="B966" s="8">
        <v>316.800334840218</v>
      </c>
      <c r="C966" s="12">
        <v>133.62747095919599</v>
      </c>
      <c r="D966" s="8">
        <v>1.24535723462078</v>
      </c>
      <c r="E966" s="12">
        <v>6.3552632047024901E-3</v>
      </c>
      <c r="F966" s="8" t="s">
        <v>2189</v>
      </c>
      <c r="G966" s="12" t="s">
        <v>2190</v>
      </c>
      <c r="H966" s="12">
        <v>1</v>
      </c>
      <c r="I966" s="13" t="str">
        <f>HYPERLINK("http://www.ncbi.nlm.nih.gov/gene/64863", "64863")</f>
        <v>64863</v>
      </c>
      <c r="J966" s="13" t="str">
        <f>HYPERLINK("http://www.ncbi.nlm.nih.gov/nuccore/NM_022840", "NM_022840")</f>
        <v>NM_022840</v>
      </c>
      <c r="K966" s="12" t="s">
        <v>2191</v>
      </c>
      <c r="L966" s="13" t="str">
        <f>HYPERLINK("http://asia.ensembl.org/Homo_sapiens/Gene/Summary?g=ENSG00000101574", "ENSG00000101574")</f>
        <v>ENSG00000101574</v>
      </c>
      <c r="M966" s="12" t="s">
        <v>12566</v>
      </c>
      <c r="N966" s="12" t="s">
        <v>12567</v>
      </c>
    </row>
    <row r="967" spans="1:14">
      <c r="A967" s="12" t="s">
        <v>2117</v>
      </c>
      <c r="B967" s="8">
        <v>1552.2570831097701</v>
      </c>
      <c r="C967" s="12">
        <v>654.77012756663203</v>
      </c>
      <c r="D967" s="8">
        <v>1.2453071062105401</v>
      </c>
      <c r="E967" s="12">
        <v>2.0504003439416499E-3</v>
      </c>
      <c r="F967" s="8" t="s">
        <v>2118</v>
      </c>
      <c r="G967" s="12" t="s">
        <v>2119</v>
      </c>
      <c r="H967" s="12">
        <v>1</v>
      </c>
      <c r="I967" s="13" t="str">
        <f>HYPERLINK("http://www.ncbi.nlm.nih.gov/gene/10845", "10845")</f>
        <v>10845</v>
      </c>
      <c r="J967" s="13" t="str">
        <f>HYPERLINK("http://www.ncbi.nlm.nih.gov/nuccore/NM_006660", "NM_006660")</f>
        <v>NM_006660</v>
      </c>
      <c r="K967" s="12" t="s">
        <v>2120</v>
      </c>
      <c r="L967" s="13" t="str">
        <f>HYPERLINK("http://asia.ensembl.org/Homo_sapiens/Gene/Summary?g=ENSG00000166855", "ENSG00000166855")</f>
        <v>ENSG00000166855</v>
      </c>
      <c r="M967" s="12" t="s">
        <v>12550</v>
      </c>
      <c r="N967" s="12" t="s">
        <v>12551</v>
      </c>
    </row>
    <row r="968" spans="1:14">
      <c r="A968" s="12" t="s">
        <v>10780</v>
      </c>
      <c r="B968" s="8">
        <v>772.76981898673796</v>
      </c>
      <c r="C968" s="12">
        <v>325.99743188509598</v>
      </c>
      <c r="D968" s="8">
        <v>1.2451781505475601</v>
      </c>
      <c r="E968" s="12">
        <v>4.1158491208485503E-3</v>
      </c>
      <c r="F968" s="8" t="s">
        <v>1233</v>
      </c>
      <c r="G968" s="12" t="s">
        <v>1234</v>
      </c>
      <c r="H968" s="12">
        <v>1</v>
      </c>
      <c r="I968" s="13" t="str">
        <f>HYPERLINK("http://www.ncbi.nlm.nih.gov/gene/55283", "55283")</f>
        <v>55283</v>
      </c>
      <c r="J968" s="12" t="s">
        <v>15865</v>
      </c>
      <c r="K968" s="12" t="s">
        <v>15866</v>
      </c>
      <c r="L968" s="13" t="str">
        <f>HYPERLINK("http://asia.ensembl.org/Homo_sapiens/Gene/Summary?g=ENSG00000055732", "ENSG00000055732")</f>
        <v>ENSG00000055732</v>
      </c>
      <c r="M968" s="12" t="s">
        <v>15867</v>
      </c>
      <c r="N968" s="12" t="s">
        <v>15868</v>
      </c>
    </row>
    <row r="969" spans="1:14">
      <c r="A969" s="12" t="s">
        <v>8589</v>
      </c>
      <c r="B969" s="8">
        <v>1621.78850358159</v>
      </c>
      <c r="C969" s="12">
        <v>684.46080950823</v>
      </c>
      <c r="D969" s="8">
        <v>1.24454584697133</v>
      </c>
      <c r="E969" s="12">
        <v>1.03728159467147E-3</v>
      </c>
      <c r="F969" s="8" t="s">
        <v>8590</v>
      </c>
      <c r="G969" s="12" t="s">
        <v>8591</v>
      </c>
      <c r="H969" s="12">
        <v>1</v>
      </c>
      <c r="I969" s="13" t="str">
        <f>HYPERLINK("http://www.ncbi.nlm.nih.gov/gene/3486", "3486")</f>
        <v>3486</v>
      </c>
      <c r="J969" s="12" t="s">
        <v>14782</v>
      </c>
      <c r="K969" s="12" t="s">
        <v>14783</v>
      </c>
      <c r="L969" s="13" t="str">
        <f>HYPERLINK("http://asia.ensembl.org/Homo_sapiens/Gene/Summary?g=ENSG00000146674", "ENSG00000146674")</f>
        <v>ENSG00000146674</v>
      </c>
      <c r="M969" s="12" t="s">
        <v>14784</v>
      </c>
      <c r="N969" s="12" t="s">
        <v>14785</v>
      </c>
    </row>
    <row r="970" spans="1:14">
      <c r="A970" s="12" t="s">
        <v>11468</v>
      </c>
      <c r="B970" s="8">
        <v>12729.1887509648</v>
      </c>
      <c r="C970" s="12">
        <v>5373.8613198698104</v>
      </c>
      <c r="D970" s="8">
        <v>1.2441094810447699</v>
      </c>
      <c r="E970" s="12">
        <v>6.2185221301469702E-3</v>
      </c>
      <c r="F970" s="8" t="s">
        <v>10979</v>
      </c>
      <c r="G970" s="12" t="s">
        <v>16149</v>
      </c>
      <c r="H970" s="12">
        <v>4</v>
      </c>
      <c r="I970" s="12" t="s">
        <v>10980</v>
      </c>
      <c r="J970" s="12" t="s">
        <v>10981</v>
      </c>
      <c r="K970" s="12" t="s">
        <v>10982</v>
      </c>
      <c r="L970" s="12" t="s">
        <v>10983</v>
      </c>
      <c r="M970" s="12" t="s">
        <v>16150</v>
      </c>
      <c r="N970" s="12" t="s">
        <v>16151</v>
      </c>
    </row>
    <row r="971" spans="1:14">
      <c r="A971" s="12" t="s">
        <v>9866</v>
      </c>
      <c r="B971" s="8">
        <v>421.52649066177003</v>
      </c>
      <c r="C971" s="12">
        <v>178.01277166812901</v>
      </c>
      <c r="D971" s="8">
        <v>1.2436425473924899</v>
      </c>
      <c r="E971" s="12">
        <v>2.6064838432581102E-4</v>
      </c>
      <c r="F971" s="8" t="s">
        <v>4632</v>
      </c>
      <c r="G971" s="12" t="s">
        <v>4633</v>
      </c>
      <c r="H971" s="12">
        <v>1</v>
      </c>
      <c r="I971" s="13" t="str">
        <f>HYPERLINK("http://www.ncbi.nlm.nih.gov/gene/56890", "56890")</f>
        <v>56890</v>
      </c>
      <c r="J971" s="12" t="s">
        <v>15216</v>
      </c>
      <c r="K971" s="12" t="s">
        <v>15217</v>
      </c>
      <c r="L971" s="13" t="str">
        <f>HYPERLINK("http://asia.ensembl.org/Homo_sapiens/Gene/Summary?g=ENSG00000111554", "ENSG00000111554")</f>
        <v>ENSG00000111554</v>
      </c>
      <c r="M971" s="12" t="s">
        <v>15218</v>
      </c>
      <c r="N971" s="12" t="s">
        <v>15219</v>
      </c>
    </row>
    <row r="972" spans="1:14">
      <c r="A972" s="12" t="s">
        <v>8433</v>
      </c>
      <c r="B972" s="8">
        <v>1194.89516321104</v>
      </c>
      <c r="C972" s="12">
        <v>504.75379149716701</v>
      </c>
      <c r="D972" s="8">
        <v>1.2432322980697299</v>
      </c>
      <c r="E972" s="12">
        <v>1.167704352025E-3</v>
      </c>
      <c r="F972" s="8" t="s">
        <v>2118</v>
      </c>
      <c r="G972" s="12" t="s">
        <v>2119</v>
      </c>
      <c r="H972" s="12">
        <v>1</v>
      </c>
      <c r="I972" s="13" t="str">
        <f>HYPERLINK("http://www.ncbi.nlm.nih.gov/gene/10845", "10845")</f>
        <v>10845</v>
      </c>
      <c r="J972" s="13" t="str">
        <f>HYPERLINK("http://www.ncbi.nlm.nih.gov/nuccore/NM_006660", "NM_006660")</f>
        <v>NM_006660</v>
      </c>
      <c r="K972" s="12" t="s">
        <v>2120</v>
      </c>
      <c r="L972" s="13" t="str">
        <f>HYPERLINK("http://asia.ensembl.org/Homo_sapiens/Gene/Summary?g=ENSG00000166855", "ENSG00000166855")</f>
        <v>ENSG00000166855</v>
      </c>
      <c r="M972" s="12" t="s">
        <v>12550</v>
      </c>
      <c r="N972" s="12" t="s">
        <v>12551</v>
      </c>
    </row>
    <row r="973" spans="1:14">
      <c r="A973" s="12" t="s">
        <v>10840</v>
      </c>
      <c r="B973" s="8">
        <v>189.13450760076299</v>
      </c>
      <c r="C973" s="12">
        <v>79.935941652056599</v>
      </c>
      <c r="D973" s="8">
        <v>1.2424963729884799</v>
      </c>
      <c r="E973" s="12">
        <v>1.1215864794734701E-2</v>
      </c>
      <c r="F973" s="8" t="s">
        <v>10841</v>
      </c>
      <c r="G973" s="12" t="s">
        <v>10842</v>
      </c>
      <c r="H973" s="12">
        <v>4</v>
      </c>
      <c r="I973" s="12" t="s">
        <v>10843</v>
      </c>
      <c r="J973" s="12" t="s">
        <v>10844</v>
      </c>
      <c r="K973" s="12" t="s">
        <v>10845</v>
      </c>
      <c r="L973" s="12" t="s">
        <v>10846</v>
      </c>
      <c r="M973" s="12" t="s">
        <v>15929</v>
      </c>
      <c r="N973" s="12" t="s">
        <v>15930</v>
      </c>
    </row>
    <row r="974" spans="1:14">
      <c r="A974" s="12" t="s">
        <v>8038</v>
      </c>
      <c r="B974" s="8">
        <v>135.03899394576399</v>
      </c>
      <c r="C974" s="12">
        <v>57.075112130897601</v>
      </c>
      <c r="D974" s="8">
        <v>1.24244236706032</v>
      </c>
      <c r="E974" s="12">
        <v>6.8417660650696103E-3</v>
      </c>
      <c r="F974" s="8" t="s">
        <v>8039</v>
      </c>
      <c r="G974" s="12" t="s">
        <v>14657</v>
      </c>
      <c r="H974" s="12">
        <v>1</v>
      </c>
      <c r="I974" s="13" t="str">
        <f>HYPERLINK("http://www.ncbi.nlm.nih.gov/gene/400823", "400823")</f>
        <v>400823</v>
      </c>
      <c r="J974" s="13" t="str">
        <f>HYPERLINK("http://www.ncbi.nlm.nih.gov/nuccore/NM_207468", "NM_207468")</f>
        <v>NM_207468</v>
      </c>
      <c r="K974" s="12" t="s">
        <v>8040</v>
      </c>
      <c r="L974" s="13" t="str">
        <f>HYPERLINK("http://asia.ensembl.org/Homo_sapiens/Gene/Summary?g=ENSG00000197520", "ENSG00000197520")</f>
        <v>ENSG00000197520</v>
      </c>
      <c r="M974" s="12" t="s">
        <v>14658</v>
      </c>
      <c r="N974" s="12" t="s">
        <v>14659</v>
      </c>
    </row>
    <row r="975" spans="1:14">
      <c r="A975" s="12" t="s">
        <v>10534</v>
      </c>
      <c r="B975" s="8">
        <v>2264.6132259111</v>
      </c>
      <c r="C975" s="12">
        <v>957.36562061472205</v>
      </c>
      <c r="D975" s="8">
        <v>1.24212276857704</v>
      </c>
      <c r="E975" s="12">
        <v>6.3886249431922499E-3</v>
      </c>
      <c r="F975" s="8" t="s">
        <v>4413</v>
      </c>
      <c r="G975" s="12" t="s">
        <v>2721</v>
      </c>
      <c r="H975" s="12">
        <v>1</v>
      </c>
      <c r="I975" s="13" t="str">
        <f>HYPERLINK("http://www.ncbi.nlm.nih.gov/gene/148867", "148867")</f>
        <v>148867</v>
      </c>
      <c r="J975" s="12" t="s">
        <v>15536</v>
      </c>
      <c r="K975" s="12" t="s">
        <v>15537</v>
      </c>
      <c r="L975" s="13" t="str">
        <f>HYPERLINK("http://asia.ensembl.org/Homo_sapiens/Gene/Summary?g=ENSG00000162695", "ENSG00000162695")</f>
        <v>ENSG00000162695</v>
      </c>
      <c r="M975" s="12" t="s">
        <v>15538</v>
      </c>
      <c r="N975" s="12" t="s">
        <v>15539</v>
      </c>
    </row>
    <row r="976" spans="1:14">
      <c r="A976" s="12" t="s">
        <v>11812</v>
      </c>
      <c r="B976" s="8">
        <v>8301.0867609414199</v>
      </c>
      <c r="C976" s="12">
        <v>3509.9919299954699</v>
      </c>
      <c r="D976" s="8">
        <v>1.2418325098871299</v>
      </c>
      <c r="E976" s="12">
        <v>8.7779745010562295E-4</v>
      </c>
      <c r="F976" s="8" t="s">
        <v>10644</v>
      </c>
      <c r="G976" s="12" t="s">
        <v>595</v>
      </c>
      <c r="H976" s="12">
        <v>1</v>
      </c>
      <c r="I976" s="13" t="str">
        <f>HYPERLINK("http://www.ncbi.nlm.nih.gov/gene/9590", "9590")</f>
        <v>9590</v>
      </c>
      <c r="J976" s="12" t="s">
        <v>15660</v>
      </c>
      <c r="K976" s="12" t="s">
        <v>15661</v>
      </c>
      <c r="L976" s="13" t="str">
        <f>HYPERLINK("http://asia.ensembl.org/Homo_sapiens/Gene/Summary?g=ENSG00000131016", "ENSG00000131016")</f>
        <v>ENSG00000131016</v>
      </c>
      <c r="M976" s="12" t="s">
        <v>15662</v>
      </c>
      <c r="N976" s="12" t="s">
        <v>15663</v>
      </c>
    </row>
    <row r="977" spans="1:14">
      <c r="A977" s="12" t="s">
        <v>8710</v>
      </c>
      <c r="B977" s="8">
        <v>351.17582343963898</v>
      </c>
      <c r="C977" s="12">
        <v>148.50668346076401</v>
      </c>
      <c r="D977" s="8">
        <v>1.2416656663480701</v>
      </c>
      <c r="E977" s="12">
        <v>4.1028612908064104E-3</v>
      </c>
      <c r="F977" s="8" t="s">
        <v>8711</v>
      </c>
      <c r="G977" s="12" t="s">
        <v>8712</v>
      </c>
      <c r="H977" s="12">
        <v>1</v>
      </c>
      <c r="I977" s="13" t="str">
        <f>HYPERLINK("http://www.ncbi.nlm.nih.gov/gene/54762", "54762")</f>
        <v>54762</v>
      </c>
      <c r="J977" s="12" t="s">
        <v>14831</v>
      </c>
      <c r="K977" s="12" t="s">
        <v>14832</v>
      </c>
      <c r="L977" s="13" t="str">
        <f>HYPERLINK("http://asia.ensembl.org/Homo_sapiens/Gene/Summary?g=ENSG00000178075", "ENSG00000178075")</f>
        <v>ENSG00000178075</v>
      </c>
      <c r="M977" s="12" t="s">
        <v>14833</v>
      </c>
      <c r="N977" s="12" t="s">
        <v>14834</v>
      </c>
    </row>
    <row r="978" spans="1:14">
      <c r="A978" s="12" t="s">
        <v>6057</v>
      </c>
      <c r="B978" s="8">
        <v>824.75099880449204</v>
      </c>
      <c r="C978" s="12">
        <v>348.78387362734901</v>
      </c>
      <c r="D978" s="8">
        <v>1.2416252827463701</v>
      </c>
      <c r="E978" s="12">
        <v>4.5862630686395499E-3</v>
      </c>
      <c r="F978" s="8" t="s">
        <v>6058</v>
      </c>
      <c r="G978" s="12" t="s">
        <v>6059</v>
      </c>
      <c r="H978" s="12">
        <v>1</v>
      </c>
      <c r="I978" s="13" t="str">
        <f>HYPERLINK("http://www.ncbi.nlm.nih.gov/gene/9159", "9159")</f>
        <v>9159</v>
      </c>
      <c r="J978" s="13" t="str">
        <f>HYPERLINK("http://www.ncbi.nlm.nih.gov/nuccore/NM_004716", "NM_004716")</f>
        <v>NM_004716</v>
      </c>
      <c r="K978" s="12" t="s">
        <v>6060</v>
      </c>
      <c r="L978" s="13" t="str">
        <f>HYPERLINK("http://asia.ensembl.org/Homo_sapiens/Gene/Summary?g=ENSG00000160613", "ENSG00000160613")</f>
        <v>ENSG00000160613</v>
      </c>
      <c r="M978" s="12" t="s">
        <v>14020</v>
      </c>
      <c r="N978" s="12" t="s">
        <v>14021</v>
      </c>
    </row>
    <row r="979" spans="1:14">
      <c r="A979" s="12" t="s">
        <v>417</v>
      </c>
      <c r="B979" s="8">
        <v>1850.3873756775599</v>
      </c>
      <c r="C979" s="12">
        <v>783.15470535604902</v>
      </c>
      <c r="D979" s="8">
        <v>1.24045809573388</v>
      </c>
      <c r="E979" s="12">
        <v>1.3972998612638499E-2</v>
      </c>
      <c r="F979" s="8" t="s">
        <v>418</v>
      </c>
      <c r="G979" s="12" t="s">
        <v>419</v>
      </c>
      <c r="H979" s="12">
        <v>1</v>
      </c>
      <c r="I979" s="13" t="str">
        <f>HYPERLINK("http://www.ncbi.nlm.nih.gov/gene/54812", "54812")</f>
        <v>54812</v>
      </c>
      <c r="J979" s="12" t="s">
        <v>11975</v>
      </c>
      <c r="K979" s="12" t="s">
        <v>11976</v>
      </c>
      <c r="L979" s="13" t="str">
        <f>HYPERLINK("http://asia.ensembl.org/Homo_sapiens/Gene/Summary?g=ENSG00000119844", "ENSG00000119844")</f>
        <v>ENSG00000119844</v>
      </c>
      <c r="M979" s="12" t="s">
        <v>11977</v>
      </c>
      <c r="N979" s="12" t="s">
        <v>11978</v>
      </c>
    </row>
    <row r="980" spans="1:14">
      <c r="A980" s="12" t="s">
        <v>119</v>
      </c>
      <c r="B980" s="8">
        <v>2138.3492474101299</v>
      </c>
      <c r="C980" s="12">
        <v>905.16158384570895</v>
      </c>
      <c r="D980" s="8">
        <v>1.2402502402039699</v>
      </c>
      <c r="E980" s="12">
        <v>4.6187911099286301E-3</v>
      </c>
      <c r="F980" s="8" t="s">
        <v>120</v>
      </c>
      <c r="G980" s="12" t="s">
        <v>121</v>
      </c>
      <c r="H980" s="12">
        <v>1</v>
      </c>
      <c r="I980" s="13" t="str">
        <f>HYPERLINK("http://www.ncbi.nlm.nih.gov/gene/9937", "9937")</f>
        <v>9937</v>
      </c>
      <c r="J980" s="12" t="s">
        <v>11868</v>
      </c>
      <c r="K980" s="12" t="s">
        <v>11869</v>
      </c>
      <c r="L980" s="13" t="str">
        <f>HYPERLINK("http://asia.ensembl.org/Homo_sapiens/Gene/Summary?g=ENSG00000198924", "ENSG00000198924")</f>
        <v>ENSG00000198924</v>
      </c>
      <c r="M980" s="12" t="s">
        <v>11870</v>
      </c>
      <c r="N980" s="12" t="s">
        <v>11871</v>
      </c>
    </row>
    <row r="981" spans="1:14">
      <c r="A981" s="12" t="s">
        <v>5398</v>
      </c>
      <c r="B981" s="8">
        <v>12066.321574387501</v>
      </c>
      <c r="C981" s="12">
        <v>5108.1670193815798</v>
      </c>
      <c r="D981" s="8">
        <v>1.2401083345803701</v>
      </c>
      <c r="E981" s="12">
        <v>2.7351955590032401E-3</v>
      </c>
      <c r="F981" s="8" t="s">
        <v>5399</v>
      </c>
      <c r="G981" s="12" t="s">
        <v>5400</v>
      </c>
      <c r="H981" s="12">
        <v>1</v>
      </c>
      <c r="I981" s="13" t="str">
        <f>HYPERLINK("http://www.ncbi.nlm.nih.gov/gene/11335", "11335")</f>
        <v>11335</v>
      </c>
      <c r="J981" s="12" t="s">
        <v>13728</v>
      </c>
      <c r="K981" s="12" t="s">
        <v>13729</v>
      </c>
      <c r="L981" s="13" t="str">
        <f>HYPERLINK("http://asia.ensembl.org/Homo_sapiens/Gene/Summary?g=ENSG00000122565", "ENSG00000122565")</f>
        <v>ENSG00000122565</v>
      </c>
      <c r="M981" s="12" t="s">
        <v>13730</v>
      </c>
      <c r="N981" s="12" t="s">
        <v>13731</v>
      </c>
    </row>
    <row r="982" spans="1:14">
      <c r="A982" s="12" t="s">
        <v>6562</v>
      </c>
      <c r="B982" s="8">
        <v>1352.26418038662</v>
      </c>
      <c r="C982" s="12">
        <v>572.74960352850201</v>
      </c>
      <c r="D982" s="8">
        <v>1.23940056627817</v>
      </c>
      <c r="E982" s="12">
        <v>1.02134950780621E-2</v>
      </c>
      <c r="F982" s="8" t="s">
        <v>6563</v>
      </c>
      <c r="G982" s="12" t="s">
        <v>6564</v>
      </c>
      <c r="H982" s="12">
        <v>1</v>
      </c>
      <c r="I982" s="13" t="str">
        <f>HYPERLINK("http://www.ncbi.nlm.nih.gov/gene/23256", "23256")</f>
        <v>23256</v>
      </c>
      <c r="J982" s="12" t="s">
        <v>14214</v>
      </c>
      <c r="K982" s="12" t="s">
        <v>14215</v>
      </c>
      <c r="L982" s="13" t="str">
        <f>HYPERLINK("http://asia.ensembl.org/Homo_sapiens/Gene/Summary?g=ENSG00000092108", "ENSG00000092108")</f>
        <v>ENSG00000092108</v>
      </c>
      <c r="M982" s="12" t="s">
        <v>14216</v>
      </c>
      <c r="N982" s="12" t="s">
        <v>14217</v>
      </c>
    </row>
    <row r="983" spans="1:14">
      <c r="A983" s="12" t="s">
        <v>2063</v>
      </c>
      <c r="B983" s="8">
        <v>1872.4836619907401</v>
      </c>
      <c r="C983" s="12">
        <v>793.29161957628298</v>
      </c>
      <c r="D983" s="8">
        <v>1.2390299173863</v>
      </c>
      <c r="E983" s="12">
        <v>5.2318010580663003E-5</v>
      </c>
      <c r="F983" s="8" t="s">
        <v>420</v>
      </c>
      <c r="G983" s="12" t="s">
        <v>421</v>
      </c>
      <c r="H983" s="12">
        <v>1</v>
      </c>
      <c r="I983" s="13" t="str">
        <f>HYPERLINK("http://www.ncbi.nlm.nih.gov/gene/64854", "64854")</f>
        <v>64854</v>
      </c>
      <c r="J983" s="12" t="s">
        <v>12535</v>
      </c>
      <c r="K983" s="12" t="s">
        <v>12536</v>
      </c>
      <c r="L983" s="13" t="str">
        <f>HYPERLINK("http://asia.ensembl.org/Homo_sapiens/Gene/Summary?g=ENSG00000109189", "ENSG00000109189")</f>
        <v>ENSG00000109189</v>
      </c>
      <c r="M983" s="12" t="s">
        <v>12537</v>
      </c>
      <c r="N983" s="12" t="s">
        <v>12538</v>
      </c>
    </row>
    <row r="984" spans="1:14">
      <c r="A984" s="12" t="s">
        <v>10753</v>
      </c>
      <c r="B984" s="8">
        <v>564.70730981588702</v>
      </c>
      <c r="C984" s="12">
        <v>239.26710763914301</v>
      </c>
      <c r="D984" s="8">
        <v>1.2388812249677199</v>
      </c>
      <c r="E984" s="12">
        <v>1.2241682184161501E-2</v>
      </c>
      <c r="F984" s="8" t="s">
        <v>6594</v>
      </c>
      <c r="G984" s="12" t="s">
        <v>15821</v>
      </c>
      <c r="H984" s="12">
        <v>1</v>
      </c>
      <c r="I984" s="13" t="str">
        <f>HYPERLINK("http://www.ncbi.nlm.nih.gov/gene/113612", "113612")</f>
        <v>113612</v>
      </c>
      <c r="J984" s="13" t="str">
        <f>HYPERLINK("http://www.ncbi.nlm.nih.gov/nuccore/NM_183075", "NM_183075")</f>
        <v>NM_183075</v>
      </c>
      <c r="K984" s="12" t="s">
        <v>6595</v>
      </c>
      <c r="L984" s="13" t="str">
        <f>HYPERLINK("http://asia.ensembl.org/Homo_sapiens/Gene/Summary?g=ENSG00000155016", "ENSG00000155016")</f>
        <v>ENSG00000155016</v>
      </c>
      <c r="M984" s="12" t="s">
        <v>15822</v>
      </c>
      <c r="N984" s="12" t="s">
        <v>15823</v>
      </c>
    </row>
    <row r="985" spans="1:14">
      <c r="A985" s="12" t="s">
        <v>1167</v>
      </c>
      <c r="B985" s="8">
        <v>4075.5285028224698</v>
      </c>
      <c r="C985" s="12">
        <v>1727.09201287412</v>
      </c>
      <c r="D985" s="8">
        <v>1.23864220981872</v>
      </c>
      <c r="E985" s="12">
        <v>1.68558018606863E-3</v>
      </c>
      <c r="F985" s="8" t="s">
        <v>1168</v>
      </c>
      <c r="G985" s="12" t="s">
        <v>1169</v>
      </c>
      <c r="H985" s="12">
        <v>1</v>
      </c>
      <c r="I985" s="13" t="str">
        <f>HYPERLINK("http://www.ncbi.nlm.nih.gov/gene/56034", "56034")</f>
        <v>56034</v>
      </c>
      <c r="J985" s="12" t="s">
        <v>12251</v>
      </c>
      <c r="K985" s="12" t="s">
        <v>12252</v>
      </c>
      <c r="L985" s="13" t="str">
        <f>HYPERLINK("http://asia.ensembl.org/Homo_sapiens/Gene/Summary?g=ENSG00000145431", "ENSG00000145431")</f>
        <v>ENSG00000145431</v>
      </c>
      <c r="M985" s="12" t="s">
        <v>12253</v>
      </c>
      <c r="N985" s="12" t="s">
        <v>12254</v>
      </c>
    </row>
    <row r="986" spans="1:14">
      <c r="A986" s="12" t="s">
        <v>4726</v>
      </c>
      <c r="B986" s="8">
        <v>2753.95557014531</v>
      </c>
      <c r="C986" s="12">
        <v>1167.4851233096199</v>
      </c>
      <c r="D986" s="8">
        <v>1.23810111801321</v>
      </c>
      <c r="E986" s="12">
        <v>6.2704365578800303E-3</v>
      </c>
      <c r="F986" s="8" t="s">
        <v>3351</v>
      </c>
      <c r="G986" s="12" t="s">
        <v>3352</v>
      </c>
      <c r="H986" s="12">
        <v>1</v>
      </c>
      <c r="I986" s="13" t="str">
        <f>HYPERLINK("http://www.ncbi.nlm.nih.gov/gene/7095", "7095")</f>
        <v>7095</v>
      </c>
      <c r="J986" s="13" t="str">
        <f>HYPERLINK("http://www.ncbi.nlm.nih.gov/nuccore/NM_003262", "NM_003262")</f>
        <v>NM_003262</v>
      </c>
      <c r="K986" s="12" t="s">
        <v>3353</v>
      </c>
      <c r="L986" s="13" t="str">
        <f>HYPERLINK("http://asia.ensembl.org/Homo_sapiens/Gene/Summary?g=ENSG00000008952", "ENSG00000008952")</f>
        <v>ENSG00000008952</v>
      </c>
      <c r="M986" s="12" t="s">
        <v>13363</v>
      </c>
      <c r="N986" s="12" t="s">
        <v>13364</v>
      </c>
    </row>
    <row r="987" spans="1:14">
      <c r="A987" s="12" t="s">
        <v>1262</v>
      </c>
      <c r="B987" s="8">
        <v>3773.1764118071401</v>
      </c>
      <c r="C987" s="12">
        <v>1600.5988562075499</v>
      </c>
      <c r="D987" s="8">
        <v>1.2371677703778099</v>
      </c>
      <c r="E987" s="12">
        <v>7.1980506922082101E-3</v>
      </c>
      <c r="F987" s="8" t="s">
        <v>1263</v>
      </c>
      <c r="G987" s="12" t="s">
        <v>12288</v>
      </c>
      <c r="H987" s="12">
        <v>1</v>
      </c>
      <c r="I987" s="13" t="str">
        <f>HYPERLINK("http://www.ncbi.nlm.nih.gov/gene/659", "659")</f>
        <v>659</v>
      </c>
      <c r="J987" s="13" t="str">
        <f>HYPERLINK("http://www.ncbi.nlm.nih.gov/nuccore/NM_001204", "NM_001204")</f>
        <v>NM_001204</v>
      </c>
      <c r="K987" s="12" t="s">
        <v>1264</v>
      </c>
      <c r="L987" s="13" t="str">
        <f>HYPERLINK("http://asia.ensembl.org/Homo_sapiens/Gene/Summary?g=ENSG00000204217", "ENSG00000204217")</f>
        <v>ENSG00000204217</v>
      </c>
      <c r="M987" s="12" t="s">
        <v>12289</v>
      </c>
      <c r="N987" s="12" t="s">
        <v>12290</v>
      </c>
    </row>
    <row r="988" spans="1:14">
      <c r="A988" s="12" t="s">
        <v>4340</v>
      </c>
      <c r="B988" s="8">
        <v>298.16669330204002</v>
      </c>
      <c r="C988" s="12">
        <v>126.50675146089399</v>
      </c>
      <c r="D988" s="8">
        <v>1.23690472915551</v>
      </c>
      <c r="E988" s="12">
        <v>5.3119978443941602E-3</v>
      </c>
      <c r="F988" s="8" t="s">
        <v>4341</v>
      </c>
      <c r="G988" s="12" t="s">
        <v>4342</v>
      </c>
      <c r="H988" s="12">
        <v>1</v>
      </c>
      <c r="I988" s="13" t="str">
        <f>HYPERLINK("http://www.ncbi.nlm.nih.gov/gene/345462", "345462")</f>
        <v>345462</v>
      </c>
      <c r="J988" s="13" t="str">
        <f>HYPERLINK("http://www.ncbi.nlm.nih.gov/nuccore/NM_001136116", "NM_001136116")</f>
        <v>NM_001136116</v>
      </c>
      <c r="K988" s="12" t="s">
        <v>4343</v>
      </c>
      <c r="L988" s="13" t="str">
        <f>HYPERLINK("http://asia.ensembl.org/Homo_sapiens/Gene/Summary?g=ENSG00000234284", "ENSG00000234284")</f>
        <v>ENSG00000234284</v>
      </c>
      <c r="M988" s="12" t="s">
        <v>13202</v>
      </c>
      <c r="N988" s="12" t="s">
        <v>13203</v>
      </c>
    </row>
    <row r="989" spans="1:14">
      <c r="A989" s="12" t="s">
        <v>11263</v>
      </c>
      <c r="B989" s="8">
        <v>5550.6024671699997</v>
      </c>
      <c r="C989" s="12">
        <v>2355.2685805779902</v>
      </c>
      <c r="D989" s="8">
        <v>1.23675278589113</v>
      </c>
      <c r="E989" s="12">
        <v>1.1435528764577299E-2</v>
      </c>
      <c r="F989" s="8" t="s">
        <v>4516</v>
      </c>
      <c r="G989" s="12" t="s">
        <v>13267</v>
      </c>
      <c r="H989" s="12">
        <v>1</v>
      </c>
      <c r="I989" s="13" t="str">
        <f>HYPERLINK("http://www.ncbi.nlm.nih.gov/gene/51132", "51132")</f>
        <v>51132</v>
      </c>
      <c r="J989" s="12" t="s">
        <v>13268</v>
      </c>
      <c r="K989" s="12" t="s">
        <v>13269</v>
      </c>
      <c r="L989" s="13" t="str">
        <f>HYPERLINK("http://asia.ensembl.org/Homo_sapiens/Gene/Summary?g=ENSG00000131263", "ENSG00000131263")</f>
        <v>ENSG00000131263</v>
      </c>
      <c r="M989" s="12" t="s">
        <v>13270</v>
      </c>
      <c r="N989" s="12" t="s">
        <v>13271</v>
      </c>
    </row>
    <row r="990" spans="1:14">
      <c r="A990" s="12" t="s">
        <v>899</v>
      </c>
      <c r="B990" s="8">
        <v>1215.75400477221</v>
      </c>
      <c r="C990" s="12">
        <v>516.05037835314499</v>
      </c>
      <c r="D990" s="8">
        <v>1.2362675261529701</v>
      </c>
      <c r="E990" s="12">
        <v>4.28053266084463E-3</v>
      </c>
      <c r="F990" s="8" t="s">
        <v>900</v>
      </c>
      <c r="G990" s="12" t="s">
        <v>901</v>
      </c>
      <c r="H990" s="12">
        <v>1</v>
      </c>
      <c r="I990" s="13" t="str">
        <f>HYPERLINK("http://www.ncbi.nlm.nih.gov/gene/57209", "57209")</f>
        <v>57209</v>
      </c>
      <c r="J990" s="12" t="s">
        <v>12156</v>
      </c>
      <c r="K990" s="12" t="s">
        <v>12157</v>
      </c>
      <c r="L990" s="13" t="str">
        <f>HYPERLINK("http://asia.ensembl.org/Homo_sapiens/Gene/Summary?g=ENSG00000198105", "ENSG00000198105")</f>
        <v>ENSG00000198105</v>
      </c>
      <c r="M990" s="12" t="s">
        <v>12158</v>
      </c>
      <c r="N990" s="12" t="s">
        <v>12159</v>
      </c>
    </row>
    <row r="991" spans="1:14">
      <c r="A991" s="12" t="s">
        <v>8410</v>
      </c>
      <c r="B991" s="8">
        <v>4113.0156767168701</v>
      </c>
      <c r="C991" s="12">
        <v>1746.30897515179</v>
      </c>
      <c r="D991" s="8">
        <v>1.23588773249885</v>
      </c>
      <c r="E991" s="12">
        <v>1.90023593440112E-3</v>
      </c>
      <c r="F991" s="8" t="s">
        <v>8411</v>
      </c>
      <c r="G991" s="12" t="s">
        <v>8412</v>
      </c>
      <c r="H991" s="12">
        <v>1</v>
      </c>
      <c r="I991" s="13" t="str">
        <f>HYPERLINK("http://www.ncbi.nlm.nih.gov/gene/55252", "55252")</f>
        <v>55252</v>
      </c>
      <c r="J991" s="13" t="str">
        <f>HYPERLINK("http://www.ncbi.nlm.nih.gov/nuccore/NM_018263", "NM_018263")</f>
        <v>NM_018263</v>
      </c>
      <c r="K991" s="12" t="s">
        <v>8413</v>
      </c>
      <c r="L991" s="13" t="str">
        <f>HYPERLINK("http://asia.ensembl.org/Homo_sapiens/Gene/Summary?g=ENSG00000143970", "ENSG00000143970")</f>
        <v>ENSG00000143970</v>
      </c>
      <c r="M991" s="12" t="s">
        <v>14738</v>
      </c>
      <c r="N991" s="12" t="s">
        <v>14739</v>
      </c>
    </row>
    <row r="992" spans="1:14">
      <c r="A992" s="12" t="s">
        <v>3876</v>
      </c>
      <c r="B992" s="8">
        <v>350.36849699207198</v>
      </c>
      <c r="C992" s="12">
        <v>148.820966832241</v>
      </c>
      <c r="D992" s="8">
        <v>1.2352952656907801</v>
      </c>
      <c r="E992" s="12">
        <v>6.5198694837275697E-4</v>
      </c>
      <c r="F992" s="8" t="s">
        <v>3877</v>
      </c>
      <c r="G992" s="12" t="s">
        <v>3878</v>
      </c>
      <c r="H992" s="12">
        <v>1</v>
      </c>
      <c r="I992" s="13" t="str">
        <f>HYPERLINK("http://www.ncbi.nlm.nih.gov/gene/100133941", "100133941")</f>
        <v>100133941</v>
      </c>
      <c r="J992" s="13" t="str">
        <f>HYPERLINK("http://www.ncbi.nlm.nih.gov/nuccore/NM_013230", "NM_013230")</f>
        <v>NM_013230</v>
      </c>
      <c r="K992" s="12" t="s">
        <v>3879</v>
      </c>
      <c r="L992" s="13" t="str">
        <f>HYPERLINK("http://asia.ensembl.org/Homo_sapiens/Gene/Summary?g=ENSG00000272398", "ENSG00000272398")</f>
        <v>ENSG00000272398</v>
      </c>
      <c r="M992" s="12" t="s">
        <v>13115</v>
      </c>
      <c r="N992" s="12" t="s">
        <v>13116</v>
      </c>
    </row>
    <row r="993" spans="1:14">
      <c r="A993" s="12" t="s">
        <v>9466</v>
      </c>
      <c r="B993" s="8">
        <v>952.80082383639694</v>
      </c>
      <c r="C993" s="12">
        <v>404.89873559004502</v>
      </c>
      <c r="D993" s="8">
        <v>1.2346135228233599</v>
      </c>
      <c r="E993" s="12">
        <v>9.9292460094979693E-4</v>
      </c>
      <c r="F993" s="8" t="s">
        <v>5631</v>
      </c>
      <c r="G993" s="12" t="s">
        <v>5632</v>
      </c>
      <c r="H993" s="12">
        <v>1</v>
      </c>
      <c r="I993" s="13" t="str">
        <f>HYPERLINK("http://www.ncbi.nlm.nih.gov/gene/54737", "54737")</f>
        <v>54737</v>
      </c>
      <c r="J993" s="13" t="str">
        <f>HYPERLINK("http://www.ncbi.nlm.nih.gov/nuccore/NM_017520", "NM_017520")</f>
        <v>NM_017520</v>
      </c>
      <c r="K993" s="12" t="s">
        <v>5633</v>
      </c>
      <c r="L993" s="13" t="str">
        <f>HYPERLINK("http://asia.ensembl.org/Homo_sapiens/Gene/Summary?g=ENSG00000196199", "ENSG00000196199")</f>
        <v>ENSG00000196199</v>
      </c>
      <c r="M993" s="12" t="s">
        <v>15035</v>
      </c>
      <c r="N993" s="12" t="s">
        <v>15036</v>
      </c>
    </row>
    <row r="994" spans="1:14">
      <c r="A994" s="12" t="s">
        <v>7216</v>
      </c>
      <c r="B994" s="8">
        <v>2950.8816217485</v>
      </c>
      <c r="C994" s="12">
        <v>1254.60403184238</v>
      </c>
      <c r="D994" s="8">
        <v>1.23391394237451</v>
      </c>
      <c r="E994" s="12">
        <v>2.6412343679581198E-3</v>
      </c>
      <c r="F994" s="8" t="s">
        <v>7217</v>
      </c>
      <c r="G994" s="12" t="s">
        <v>14370</v>
      </c>
      <c r="H994" s="12">
        <v>1</v>
      </c>
      <c r="I994" s="13" t="str">
        <f>HYPERLINK("http://www.ncbi.nlm.nih.gov/gene/51251", "51251")</f>
        <v>51251</v>
      </c>
      <c r="J994" s="12" t="s">
        <v>14371</v>
      </c>
      <c r="K994" s="12" t="s">
        <v>14372</v>
      </c>
      <c r="L994" s="13" t="str">
        <f>HYPERLINK("http://asia.ensembl.org/Homo_sapiens/Gene/Summary?g=ENSG00000122643", "ENSG00000122643")</f>
        <v>ENSG00000122643</v>
      </c>
      <c r="M994" s="12" t="s">
        <v>14373</v>
      </c>
      <c r="N994" s="12" t="s">
        <v>14374</v>
      </c>
    </row>
    <row r="995" spans="1:14">
      <c r="A995" s="12" t="s">
        <v>974</v>
      </c>
      <c r="B995" s="8">
        <v>3094.80019240007</v>
      </c>
      <c r="C995" s="12">
        <v>1315.82987631588</v>
      </c>
      <c r="D995" s="8">
        <v>1.23387329360652</v>
      </c>
      <c r="E995" s="12">
        <v>1.9213268499801799E-4</v>
      </c>
      <c r="F995" s="8" t="s">
        <v>975</v>
      </c>
      <c r="G995" s="12" t="s">
        <v>976</v>
      </c>
      <c r="H995" s="12">
        <v>1</v>
      </c>
      <c r="I995" s="13" t="str">
        <f>HYPERLINK("http://www.ncbi.nlm.nih.gov/gene/440145", "440145")</f>
        <v>440145</v>
      </c>
      <c r="J995" s="13" t="str">
        <f>HYPERLINK("http://www.ncbi.nlm.nih.gov/nuccore/NM_001071775", "NM_001071775")</f>
        <v>NM_001071775</v>
      </c>
      <c r="K995" s="12" t="s">
        <v>977</v>
      </c>
      <c r="L995" s="13" t="str">
        <f>HYPERLINK("http://asia.ensembl.org/Homo_sapiens/Gene/Summary?g=ENSG00000204899", "ENSG00000204899")</f>
        <v>ENSG00000204899</v>
      </c>
      <c r="M995" s="12" t="s">
        <v>978</v>
      </c>
      <c r="N995" s="12" t="s">
        <v>979</v>
      </c>
    </row>
    <row r="996" spans="1:14">
      <c r="A996" s="12" t="s">
        <v>9615</v>
      </c>
      <c r="B996" s="8">
        <v>980.29317471963805</v>
      </c>
      <c r="C996" s="12">
        <v>416.902810788343</v>
      </c>
      <c r="D996" s="8">
        <v>1.2335021793378</v>
      </c>
      <c r="E996" s="12">
        <v>2.1620792176326401E-2</v>
      </c>
      <c r="F996" s="8" t="s">
        <v>1808</v>
      </c>
      <c r="G996" s="12" t="s">
        <v>15112</v>
      </c>
      <c r="H996" s="12">
        <v>1</v>
      </c>
      <c r="I996" s="13" t="str">
        <f>HYPERLINK("http://www.ncbi.nlm.nih.gov/gene/4582", "4582")</f>
        <v>4582</v>
      </c>
      <c r="J996" s="12" t="s">
        <v>15113</v>
      </c>
      <c r="K996" s="12" t="s">
        <v>15114</v>
      </c>
      <c r="L996" s="13" t="str">
        <f>HYPERLINK("http://asia.ensembl.org/Homo_sapiens/Gene/Summary?g=ENSG00000185499", "ENSG00000185499")</f>
        <v>ENSG00000185499</v>
      </c>
      <c r="M996" s="12" t="s">
        <v>15115</v>
      </c>
      <c r="N996" s="12" t="s">
        <v>15116</v>
      </c>
    </row>
    <row r="997" spans="1:14">
      <c r="A997" s="12" t="s">
        <v>11245</v>
      </c>
      <c r="B997" s="8">
        <v>403.955426965806</v>
      </c>
      <c r="C997" s="12">
        <v>171.839061601471</v>
      </c>
      <c r="D997" s="8">
        <v>1.23313809265023</v>
      </c>
      <c r="E997" s="12">
        <v>1.7215918982007802E-2</v>
      </c>
      <c r="F997" s="8" t="s">
        <v>38</v>
      </c>
      <c r="G997" s="12" t="s">
        <v>38</v>
      </c>
      <c r="H997" s="12">
        <v>1</v>
      </c>
      <c r="I997" s="12" t="s">
        <v>38</v>
      </c>
      <c r="J997" s="12" t="s">
        <v>38</v>
      </c>
      <c r="K997" s="12" t="s">
        <v>38</v>
      </c>
      <c r="L997" s="13" t="str">
        <f>HYPERLINK("http://asia.ensembl.org/Homo_sapiens/Gene/Summary?g=ENSG00000198612", "ENSG00000198612")</f>
        <v>ENSG00000198612</v>
      </c>
      <c r="M997" s="12" t="s">
        <v>11246</v>
      </c>
      <c r="N997" s="12" t="s">
        <v>16061</v>
      </c>
    </row>
    <row r="998" spans="1:14">
      <c r="A998" s="12" t="s">
        <v>8837</v>
      </c>
      <c r="B998" s="8">
        <v>901.48258104696004</v>
      </c>
      <c r="C998" s="12">
        <v>383.501214917955</v>
      </c>
      <c r="D998" s="8">
        <v>1.23306846722153</v>
      </c>
      <c r="E998" s="12">
        <v>4.9770176594566803E-4</v>
      </c>
      <c r="F998" s="8" t="s">
        <v>8838</v>
      </c>
      <c r="G998" s="12" t="s">
        <v>8839</v>
      </c>
      <c r="H998" s="12">
        <v>1</v>
      </c>
      <c r="I998" s="13" t="str">
        <f>HYPERLINK("http://www.ncbi.nlm.nih.gov/gene/10762", "10762")</f>
        <v>10762</v>
      </c>
      <c r="J998" s="12" t="s">
        <v>14922</v>
      </c>
      <c r="K998" s="12" t="s">
        <v>14923</v>
      </c>
      <c r="L998" s="13" t="str">
        <f>HYPERLINK("http://asia.ensembl.org/Homo_sapiens/Gene/Summary?g=ENSG00000093000", "ENSG00000093000")</f>
        <v>ENSG00000093000</v>
      </c>
      <c r="M998" s="12" t="s">
        <v>14924</v>
      </c>
      <c r="N998" s="12" t="s">
        <v>14925</v>
      </c>
    </row>
    <row r="999" spans="1:14">
      <c r="A999" s="12" t="s">
        <v>8387</v>
      </c>
      <c r="B999" s="8">
        <v>897.53717681339003</v>
      </c>
      <c r="C999" s="12">
        <v>382.01321634169602</v>
      </c>
      <c r="D999" s="8">
        <v>1.2323491465212</v>
      </c>
      <c r="E999" s="12">
        <v>4.3550249751822499E-3</v>
      </c>
      <c r="F999" s="8" t="s">
        <v>8388</v>
      </c>
      <c r="G999" s="12" t="s">
        <v>8389</v>
      </c>
      <c r="H999" s="12">
        <v>1</v>
      </c>
      <c r="I999" s="13" t="str">
        <f>HYPERLINK("http://www.ncbi.nlm.nih.gov/gene/55681", "55681")</f>
        <v>55681</v>
      </c>
      <c r="J999" s="13" t="str">
        <f>HYPERLINK("http://www.ncbi.nlm.nih.gov/nuccore/NM_017988", "NM_017988")</f>
        <v>NM_017988</v>
      </c>
      <c r="K999" s="12" t="s">
        <v>8390</v>
      </c>
      <c r="L999" s="13" t="str">
        <f>HYPERLINK("http://asia.ensembl.org/Homo_sapiens/Gene/Summary?g=ENSG00000136021", "ENSG00000136021")</f>
        <v>ENSG00000136021</v>
      </c>
      <c r="M999" s="12" t="s">
        <v>14729</v>
      </c>
      <c r="N999" s="12" t="s">
        <v>14730</v>
      </c>
    </row>
    <row r="1000" spans="1:14">
      <c r="A1000" s="12" t="s">
        <v>2433</v>
      </c>
      <c r="B1000" s="8">
        <v>148.73623710752901</v>
      </c>
      <c r="C1000" s="12">
        <v>63.310434804360199</v>
      </c>
      <c r="D1000" s="8">
        <v>1.2322409699677199</v>
      </c>
      <c r="E1000" s="12">
        <v>3.8823490773305797E-2</v>
      </c>
      <c r="F1000" s="8" t="s">
        <v>2434</v>
      </c>
      <c r="G1000" s="12" t="s">
        <v>2435</v>
      </c>
      <c r="H1000" s="12">
        <v>1</v>
      </c>
      <c r="I1000" s="13" t="str">
        <f>HYPERLINK("http://www.ncbi.nlm.nih.gov/gene/3062", "3062")</f>
        <v>3062</v>
      </c>
      <c r="J1000" s="13" t="str">
        <f>HYPERLINK("http://www.ncbi.nlm.nih.gov/nuccore/NM_001526", "NM_001526")</f>
        <v>NM_001526</v>
      </c>
      <c r="K1000" s="12" t="s">
        <v>2436</v>
      </c>
      <c r="L1000" s="13" t="str">
        <f>HYPERLINK("http://asia.ensembl.org/Homo_sapiens/Gene/Summary?g=ENSG00000137252", "ENSG00000137252")</f>
        <v>ENSG00000137252</v>
      </c>
      <c r="M1000" s="12" t="s">
        <v>12634</v>
      </c>
      <c r="N1000" s="12" t="s">
        <v>12635</v>
      </c>
    </row>
    <row r="1001" spans="1:14">
      <c r="A1001" s="12" t="s">
        <v>5371</v>
      </c>
      <c r="B1001" s="8">
        <v>16426.610737163599</v>
      </c>
      <c r="C1001" s="12">
        <v>6992.7532395116996</v>
      </c>
      <c r="D1001" s="8">
        <v>1.23210234188377</v>
      </c>
      <c r="E1001" s="12">
        <v>3.8649242603229499E-3</v>
      </c>
      <c r="F1001" s="8" t="s">
        <v>5372</v>
      </c>
      <c r="G1001" s="12" t="s">
        <v>5373</v>
      </c>
      <c r="H1001" s="12">
        <v>1</v>
      </c>
      <c r="I1001" s="13" t="str">
        <f>HYPERLINK("http://www.ncbi.nlm.nih.gov/gene/92140", "92140")</f>
        <v>92140</v>
      </c>
      <c r="J1001" s="13" t="str">
        <f>HYPERLINK("http://www.ncbi.nlm.nih.gov/nuccore/NM_178812", "NM_178812")</f>
        <v>NM_178812</v>
      </c>
      <c r="K1001" s="12" t="s">
        <v>5374</v>
      </c>
      <c r="L1001" s="13" t="str">
        <f>HYPERLINK("http://asia.ensembl.org/Homo_sapiens/Gene/Summary?g=ENSG00000147649", "ENSG00000147649")</f>
        <v>ENSG00000147649</v>
      </c>
      <c r="M1001" s="12" t="s">
        <v>13709</v>
      </c>
      <c r="N1001" s="12" t="s">
        <v>13710</v>
      </c>
    </row>
    <row r="1002" spans="1:14">
      <c r="A1002" s="12" t="s">
        <v>4115</v>
      </c>
      <c r="B1002" s="8">
        <v>233.21840173189901</v>
      </c>
      <c r="C1002" s="12">
        <v>99.340405225093605</v>
      </c>
      <c r="D1002" s="8">
        <v>1.231229089738</v>
      </c>
      <c r="E1002" s="12">
        <v>1.4356892589530501E-4</v>
      </c>
      <c r="F1002" s="8" t="s">
        <v>4116</v>
      </c>
      <c r="G1002" s="12" t="s">
        <v>13166</v>
      </c>
      <c r="H1002" s="12">
        <v>1</v>
      </c>
      <c r="I1002" s="13" t="str">
        <f>HYPERLINK("http://www.ncbi.nlm.nih.gov/gene/79441", "79441")</f>
        <v>79441</v>
      </c>
      <c r="J1002" s="13" t="str">
        <f>HYPERLINK("http://www.ncbi.nlm.nih.gov/nuccore/NM_024511", "NM_024511")</f>
        <v>NM_024511</v>
      </c>
      <c r="K1002" s="12" t="s">
        <v>4117</v>
      </c>
      <c r="L1002" s="13" t="str">
        <f>HYPERLINK("http://asia.ensembl.org/Homo_sapiens/Gene/Summary?g=ENSG00000214367", "ENSG00000214367")</f>
        <v>ENSG00000214367</v>
      </c>
      <c r="M1002" s="12" t="s">
        <v>13167</v>
      </c>
      <c r="N1002" s="12" t="s">
        <v>13168</v>
      </c>
    </row>
    <row r="1003" spans="1:14">
      <c r="A1003" s="12" t="s">
        <v>4871</v>
      </c>
      <c r="B1003" s="8">
        <v>1235.2500079346901</v>
      </c>
      <c r="C1003" s="12">
        <v>526.47059349367396</v>
      </c>
      <c r="D1003" s="8">
        <v>1.2303782095164799</v>
      </c>
      <c r="E1003" s="12">
        <v>3.4570453754067801E-3</v>
      </c>
      <c r="F1003" s="8" t="s">
        <v>4872</v>
      </c>
      <c r="G1003" s="12" t="s">
        <v>13439</v>
      </c>
      <c r="H1003" s="12">
        <v>1</v>
      </c>
      <c r="I1003" s="13" t="str">
        <f>HYPERLINK("http://www.ncbi.nlm.nih.gov/gene/987", "987")</f>
        <v>987</v>
      </c>
      <c r="J1003" s="12" t="s">
        <v>13440</v>
      </c>
      <c r="K1003" s="12" t="s">
        <v>13441</v>
      </c>
      <c r="L1003" s="13" t="str">
        <f>HYPERLINK("http://asia.ensembl.org/Homo_sapiens/Gene/Summary?g=ENSG00000198589", "ENSG00000198589")</f>
        <v>ENSG00000198589</v>
      </c>
      <c r="M1003" s="12" t="s">
        <v>13442</v>
      </c>
      <c r="N1003" s="12" t="s">
        <v>13443</v>
      </c>
    </row>
    <row r="1004" spans="1:14">
      <c r="A1004" s="12" t="s">
        <v>1880</v>
      </c>
      <c r="B1004" s="8">
        <v>12146.8563628212</v>
      </c>
      <c r="C1004" s="12">
        <v>5177.7013328024696</v>
      </c>
      <c r="D1004" s="8">
        <v>1.2301993357518299</v>
      </c>
      <c r="E1004" s="12">
        <v>6.0485772408832702E-3</v>
      </c>
      <c r="F1004" s="8" t="s">
        <v>1881</v>
      </c>
      <c r="G1004" s="12" t="s">
        <v>1882</v>
      </c>
      <c r="H1004" s="12">
        <v>1</v>
      </c>
      <c r="I1004" s="13" t="str">
        <f>HYPERLINK("http://www.ncbi.nlm.nih.gov/gene/92912", "92912")</f>
        <v>92912</v>
      </c>
      <c r="J1004" s="12" t="s">
        <v>12463</v>
      </c>
      <c r="K1004" s="12" t="s">
        <v>12464</v>
      </c>
      <c r="L1004" s="13" t="str">
        <f>HYPERLINK("http://asia.ensembl.org/Homo_sapiens/Gene/Summary?g=ENSG00000140367", "ENSG00000140367")</f>
        <v>ENSG00000140367</v>
      </c>
      <c r="M1004" s="12" t="s">
        <v>12465</v>
      </c>
      <c r="N1004" s="12" t="s">
        <v>12466</v>
      </c>
    </row>
    <row r="1005" spans="1:14">
      <c r="A1005" s="12" t="s">
        <v>7460</v>
      </c>
      <c r="B1005" s="8">
        <v>133.864719529133</v>
      </c>
      <c r="C1005" s="12">
        <v>57.104541417857803</v>
      </c>
      <c r="D1005" s="8">
        <v>1.22909839379663</v>
      </c>
      <c r="E1005" s="12">
        <v>4.52252571257757E-2</v>
      </c>
      <c r="F1005" s="8" t="s">
        <v>1187</v>
      </c>
      <c r="G1005" s="12" t="s">
        <v>1188</v>
      </c>
      <c r="H1005" s="12">
        <v>1</v>
      </c>
      <c r="I1005" s="13" t="str">
        <f>HYPERLINK("http://www.ncbi.nlm.nih.gov/gene/55117", "55117")</f>
        <v>55117</v>
      </c>
      <c r="J1005" s="12" t="s">
        <v>14435</v>
      </c>
      <c r="K1005" s="12" t="s">
        <v>14436</v>
      </c>
      <c r="L1005" s="13" t="str">
        <f>HYPERLINK("http://asia.ensembl.org/Homo_sapiens/Gene/Summary?g=ENSG00000072041", "ENSG00000072041")</f>
        <v>ENSG00000072041</v>
      </c>
      <c r="M1005" s="12" t="s">
        <v>14437</v>
      </c>
      <c r="N1005" s="12" t="s">
        <v>14438</v>
      </c>
    </row>
    <row r="1006" spans="1:14">
      <c r="A1006" s="12" t="s">
        <v>5526</v>
      </c>
      <c r="B1006" s="8">
        <v>1707.99479413993</v>
      </c>
      <c r="C1006" s="12">
        <v>728.83476505543399</v>
      </c>
      <c r="D1006" s="8">
        <v>1.22863989599282</v>
      </c>
      <c r="E1006" s="12">
        <v>9.3549681790582803E-3</v>
      </c>
      <c r="F1006" s="8" t="s">
        <v>5527</v>
      </c>
      <c r="G1006" s="12" t="s">
        <v>5528</v>
      </c>
      <c r="H1006" s="12">
        <v>1</v>
      </c>
      <c r="I1006" s="13" t="str">
        <f>HYPERLINK("http://www.ncbi.nlm.nih.gov/gene/8621", "8621")</f>
        <v>8621</v>
      </c>
      <c r="J1006" s="12" t="s">
        <v>13807</v>
      </c>
      <c r="K1006" s="12" t="s">
        <v>13808</v>
      </c>
      <c r="L1006" s="13" t="str">
        <f>HYPERLINK("http://asia.ensembl.org/Homo_sapiens/Gene/Summary?g=ENSG00000065883", "ENSG00000065883")</f>
        <v>ENSG00000065883</v>
      </c>
      <c r="M1006" s="12" t="s">
        <v>13809</v>
      </c>
      <c r="N1006" s="12" t="s">
        <v>13810</v>
      </c>
    </row>
    <row r="1007" spans="1:14">
      <c r="A1007" s="12" t="s">
        <v>1515</v>
      </c>
      <c r="B1007" s="8">
        <v>8787.8226871523293</v>
      </c>
      <c r="C1007" s="12">
        <v>3750.3653278683701</v>
      </c>
      <c r="D1007" s="8">
        <v>1.2284746234239801</v>
      </c>
      <c r="E1007" s="12">
        <v>1.54786561868349E-2</v>
      </c>
      <c r="F1007" s="8" t="s">
        <v>1516</v>
      </c>
      <c r="G1007" s="12" t="s">
        <v>1517</v>
      </c>
      <c r="H1007" s="12">
        <v>1</v>
      </c>
      <c r="I1007" s="13" t="str">
        <f>HYPERLINK("http://www.ncbi.nlm.nih.gov/gene/1859", "1859")</f>
        <v>1859</v>
      </c>
      <c r="J1007" s="12" t="s">
        <v>12348</v>
      </c>
      <c r="K1007" s="12" t="s">
        <v>12349</v>
      </c>
      <c r="L1007" s="13" t="str">
        <f>HYPERLINK("http://asia.ensembl.org/Homo_sapiens/Gene/Summary?g=ENSG00000157540", "ENSG00000157540")</f>
        <v>ENSG00000157540</v>
      </c>
      <c r="M1007" s="12" t="s">
        <v>12350</v>
      </c>
      <c r="N1007" s="12" t="s">
        <v>12351</v>
      </c>
    </row>
    <row r="1008" spans="1:14">
      <c r="A1008" s="12" t="s">
        <v>4716</v>
      </c>
      <c r="B1008" s="8">
        <v>583.52855335586003</v>
      </c>
      <c r="C1008" s="12">
        <v>249.10536886434099</v>
      </c>
      <c r="D1008" s="8">
        <v>1.2280471362319101</v>
      </c>
      <c r="E1008" s="12">
        <v>4.6374583199110002E-3</v>
      </c>
      <c r="F1008" s="8" t="s">
        <v>4717</v>
      </c>
      <c r="G1008" s="12" t="s">
        <v>4718</v>
      </c>
      <c r="H1008" s="12">
        <v>1</v>
      </c>
      <c r="I1008" s="13" t="str">
        <f>HYPERLINK("http://www.ncbi.nlm.nih.gov/gene/51809", "51809")</f>
        <v>51809</v>
      </c>
      <c r="J1008" s="13" t="str">
        <f>HYPERLINK("http://www.ncbi.nlm.nih.gov/nuccore/NM_017423", "NM_017423")</f>
        <v>NM_017423</v>
      </c>
      <c r="K1008" s="12" t="s">
        <v>4719</v>
      </c>
      <c r="L1008" s="13" t="str">
        <f>HYPERLINK("http://asia.ensembl.org/Homo_sapiens/Gene/Summary?g=ENSG00000109586", "ENSG00000109586")</f>
        <v>ENSG00000109586</v>
      </c>
      <c r="M1008" s="12" t="s">
        <v>13354</v>
      </c>
      <c r="N1008" s="12" t="s">
        <v>13355</v>
      </c>
    </row>
    <row r="1009" spans="1:14">
      <c r="A1009" s="12" t="s">
        <v>177</v>
      </c>
      <c r="B1009" s="8">
        <v>117.122519447165</v>
      </c>
      <c r="C1009" s="12">
        <v>49.999999999999901</v>
      </c>
      <c r="D1009" s="8">
        <v>1.22801849318504</v>
      </c>
      <c r="E1009" s="12">
        <v>3.7493623197730999E-3</v>
      </c>
      <c r="F1009" s="8" t="s">
        <v>178</v>
      </c>
      <c r="G1009" s="12" t="s">
        <v>11884</v>
      </c>
      <c r="H1009" s="12">
        <v>1</v>
      </c>
      <c r="I1009" s="13" t="str">
        <f>HYPERLINK("http://www.ncbi.nlm.nih.gov/gene/834", "834")</f>
        <v>834</v>
      </c>
      <c r="J1009" s="12" t="s">
        <v>11885</v>
      </c>
      <c r="K1009" s="12" t="s">
        <v>11886</v>
      </c>
      <c r="L1009" s="13" t="str">
        <f>HYPERLINK("http://asia.ensembl.org/Homo_sapiens/Gene/Summary?g=ENSG00000137752", "ENSG00000137752")</f>
        <v>ENSG00000137752</v>
      </c>
      <c r="M1009" s="12" t="s">
        <v>11887</v>
      </c>
      <c r="N1009" s="12" t="s">
        <v>11888</v>
      </c>
    </row>
    <row r="1010" spans="1:14">
      <c r="A1010" s="12" t="s">
        <v>9861</v>
      </c>
      <c r="B1010" s="8">
        <v>2027.8276674435599</v>
      </c>
      <c r="C1010" s="12">
        <v>866.12176344231295</v>
      </c>
      <c r="D1010" s="8">
        <v>1.22729328667541</v>
      </c>
      <c r="E1010" s="12">
        <v>4.7297582441826998E-3</v>
      </c>
      <c r="F1010" s="8" t="s">
        <v>5488</v>
      </c>
      <c r="G1010" s="12" t="s">
        <v>15206</v>
      </c>
      <c r="H1010" s="12">
        <v>1</v>
      </c>
      <c r="I1010" s="13" t="str">
        <f>HYPERLINK("http://www.ncbi.nlm.nih.gov/gene/57579", "57579")</f>
        <v>57579</v>
      </c>
      <c r="J1010" s="12" t="s">
        <v>15207</v>
      </c>
      <c r="K1010" s="12" t="s">
        <v>15208</v>
      </c>
      <c r="L1010" s="13" t="str">
        <f>HYPERLINK("http://asia.ensembl.org/Homo_sapiens/Gene/Summary?g=ENSG00000082269", "ENSG00000082269")</f>
        <v>ENSG00000082269</v>
      </c>
      <c r="M1010" s="12" t="s">
        <v>15209</v>
      </c>
      <c r="N1010" s="12" t="s">
        <v>15210</v>
      </c>
    </row>
    <row r="1011" spans="1:14">
      <c r="A1011" s="12" t="s">
        <v>1026</v>
      </c>
      <c r="B1011" s="8">
        <v>2654.0035778195102</v>
      </c>
      <c r="C1011" s="12">
        <v>1133.75401920952</v>
      </c>
      <c r="D1011" s="8">
        <v>1.22706265040105</v>
      </c>
      <c r="E1011" s="12">
        <v>2.6644363203788498E-3</v>
      </c>
      <c r="F1011" s="8" t="s">
        <v>1027</v>
      </c>
      <c r="G1011" s="12" t="s">
        <v>1028</v>
      </c>
      <c r="H1011" s="12">
        <v>1</v>
      </c>
      <c r="I1011" s="13" t="str">
        <f>HYPERLINK("http://www.ncbi.nlm.nih.gov/gene/149041", "149041")</f>
        <v>149041</v>
      </c>
      <c r="J1011" s="13" t="str">
        <f>HYPERLINK("http://www.ncbi.nlm.nih.gov/nuccore/NM_172071", "NM_172071")</f>
        <v>NM_172071</v>
      </c>
      <c r="K1011" s="12" t="s">
        <v>1029</v>
      </c>
      <c r="L1011" s="13" t="str">
        <f>HYPERLINK("http://asia.ensembl.org/Homo_sapiens/Gene/Summary?g=ENSG00000135870", "ENSG00000135870")</f>
        <v>ENSG00000135870</v>
      </c>
      <c r="M1011" s="12" t="s">
        <v>12202</v>
      </c>
      <c r="N1011" s="12" t="s">
        <v>12203</v>
      </c>
    </row>
    <row r="1012" spans="1:14">
      <c r="A1012" s="12" t="s">
        <v>7348</v>
      </c>
      <c r="B1012" s="8">
        <v>134.85792977054399</v>
      </c>
      <c r="C1012" s="12">
        <v>57.651008810778301</v>
      </c>
      <c r="D1012" s="8">
        <v>1.22602259754071</v>
      </c>
      <c r="E1012" s="12">
        <v>1.18652910337447E-2</v>
      </c>
      <c r="F1012" s="8" t="s">
        <v>6653</v>
      </c>
      <c r="G1012" s="12" t="s">
        <v>6654</v>
      </c>
      <c r="H1012" s="12">
        <v>1</v>
      </c>
      <c r="I1012" s="13" t="str">
        <f>HYPERLINK("http://www.ncbi.nlm.nih.gov/gene/6751", "6751")</f>
        <v>6751</v>
      </c>
      <c r="J1012" s="13" t="str">
        <f>HYPERLINK("http://www.ncbi.nlm.nih.gov/nuccore/NM_001049", "NM_001049")</f>
        <v>NM_001049</v>
      </c>
      <c r="K1012" s="12" t="s">
        <v>6655</v>
      </c>
      <c r="L1012" s="13" t="str">
        <f>HYPERLINK("http://asia.ensembl.org/Homo_sapiens/Gene/Summary?g=ENSG00000139874", "ENSG00000139874")</f>
        <v>ENSG00000139874</v>
      </c>
      <c r="M1012" s="12" t="s">
        <v>6656</v>
      </c>
      <c r="N1012" s="12" t="s">
        <v>6657</v>
      </c>
    </row>
    <row r="1013" spans="1:14">
      <c r="A1013" s="12" t="s">
        <v>1814</v>
      </c>
      <c r="B1013" s="8">
        <v>64313.127384343599</v>
      </c>
      <c r="C1013" s="12">
        <v>27496.171999347</v>
      </c>
      <c r="D1013" s="8">
        <v>1.22588246431014</v>
      </c>
      <c r="E1013" s="12">
        <v>2.7593133645159398E-3</v>
      </c>
      <c r="F1013" s="8" t="s">
        <v>1815</v>
      </c>
      <c r="G1013" s="12" t="s">
        <v>1816</v>
      </c>
      <c r="H1013" s="12">
        <v>1</v>
      </c>
      <c r="I1013" s="13" t="str">
        <f>HYPERLINK("http://www.ncbi.nlm.nih.gov/gene/3308", "3308")</f>
        <v>3308</v>
      </c>
      <c r="J1013" s="13" t="str">
        <f>HYPERLINK("http://www.ncbi.nlm.nih.gov/nuccore/NM_002154", "NM_002154")</f>
        <v>NM_002154</v>
      </c>
      <c r="K1013" s="12" t="s">
        <v>1817</v>
      </c>
      <c r="L1013" s="13" t="str">
        <f>HYPERLINK("http://asia.ensembl.org/Homo_sapiens/Gene/Summary?g=ENSG00000170606", "ENSG00000170606")</f>
        <v>ENSG00000170606</v>
      </c>
      <c r="M1013" s="12" t="s">
        <v>12435</v>
      </c>
      <c r="N1013" s="12" t="s">
        <v>12436</v>
      </c>
    </row>
    <row r="1014" spans="1:14">
      <c r="A1014" s="12" t="s">
        <v>10654</v>
      </c>
      <c r="B1014" s="8">
        <v>1343.6084349804401</v>
      </c>
      <c r="C1014" s="12">
        <v>574.66395438691097</v>
      </c>
      <c r="D1014" s="8">
        <v>1.22532229320736</v>
      </c>
      <c r="E1014" s="12">
        <v>4.3018748548112398E-3</v>
      </c>
      <c r="F1014" s="8" t="s">
        <v>6068</v>
      </c>
      <c r="G1014" s="12" t="s">
        <v>6069</v>
      </c>
      <c r="H1014" s="12">
        <v>1</v>
      </c>
      <c r="I1014" s="13" t="str">
        <f>HYPERLINK("http://www.ncbi.nlm.nih.gov/gene/29116", "29116")</f>
        <v>29116</v>
      </c>
      <c r="J1014" s="13" t="str">
        <f>HYPERLINK("http://www.ncbi.nlm.nih.gov/nuccore/NM_013262", "NM_013262")</f>
        <v>NM_013262</v>
      </c>
      <c r="K1014" s="12" t="s">
        <v>6070</v>
      </c>
      <c r="L1014" s="13" t="str">
        <f>HYPERLINK("http://asia.ensembl.org/Homo_sapiens/Gene/Summary?g=ENSG00000007944", "ENSG00000007944")</f>
        <v>ENSG00000007944</v>
      </c>
      <c r="M1014" s="12" t="s">
        <v>14022</v>
      </c>
      <c r="N1014" s="12" t="s">
        <v>14023</v>
      </c>
    </row>
    <row r="1015" spans="1:14">
      <c r="A1015" s="12" t="s">
        <v>850</v>
      </c>
      <c r="B1015" s="8">
        <v>30333.047827784601</v>
      </c>
      <c r="C1015" s="12">
        <v>12976.388904473</v>
      </c>
      <c r="D1015" s="8">
        <v>1.2250015023704801</v>
      </c>
      <c r="E1015" s="12">
        <v>3.0852849325260401E-3</v>
      </c>
      <c r="F1015" s="8" t="s">
        <v>851</v>
      </c>
      <c r="G1015" s="12" t="s">
        <v>852</v>
      </c>
      <c r="H1015" s="12">
        <v>1</v>
      </c>
      <c r="I1015" s="13" t="str">
        <f>HYPERLINK("http://www.ncbi.nlm.nih.gov/gene/51765", "51765")</f>
        <v>51765</v>
      </c>
      <c r="J1015" s="12" t="s">
        <v>12138</v>
      </c>
      <c r="K1015" s="12" t="s">
        <v>12139</v>
      </c>
      <c r="L1015" s="13" t="str">
        <f>HYPERLINK("http://asia.ensembl.org/Homo_sapiens/Gene/Summary?g=ENSG00000134602", "ENSG00000134602")</f>
        <v>ENSG00000134602</v>
      </c>
      <c r="M1015" s="12" t="s">
        <v>12140</v>
      </c>
      <c r="N1015" s="12" t="s">
        <v>12141</v>
      </c>
    </row>
    <row r="1016" spans="1:14">
      <c r="A1016" s="12" t="s">
        <v>4766</v>
      </c>
      <c r="B1016" s="8">
        <v>147.33962179217701</v>
      </c>
      <c r="C1016" s="12">
        <v>63.042647629837198</v>
      </c>
      <c r="D1016" s="8">
        <v>1.2247454137927201</v>
      </c>
      <c r="E1016" s="12">
        <v>5.7442002842233997E-3</v>
      </c>
      <c r="F1016" s="8" t="s">
        <v>4767</v>
      </c>
      <c r="G1016" s="12" t="s">
        <v>13375</v>
      </c>
      <c r="H1016" s="12">
        <v>1</v>
      </c>
      <c r="I1016" s="13" t="str">
        <f>HYPERLINK("http://www.ncbi.nlm.nih.gov/gene/23195", "23195")</f>
        <v>23195</v>
      </c>
      <c r="J1016" s="13" t="str">
        <f>HYPERLINK("http://www.ncbi.nlm.nih.gov/nuccore/NM_014611", "NM_014611")</f>
        <v>NM_014611</v>
      </c>
      <c r="K1016" s="12" t="s">
        <v>4768</v>
      </c>
      <c r="L1016" s="13" t="str">
        <f>HYPERLINK("http://asia.ensembl.org/Homo_sapiens/Gene/Summary?g=ENSG00000112159", "ENSG00000112159")</f>
        <v>ENSG00000112159</v>
      </c>
      <c r="M1016" s="12" t="s">
        <v>13376</v>
      </c>
      <c r="N1016" s="12" t="s">
        <v>13377</v>
      </c>
    </row>
    <row r="1017" spans="1:14">
      <c r="A1017" s="12" t="s">
        <v>1564</v>
      </c>
      <c r="B1017" s="8">
        <v>12638.1276898457</v>
      </c>
      <c r="C1017" s="12">
        <v>5409.03758293993</v>
      </c>
      <c r="D1017" s="8">
        <v>1.22433892058772</v>
      </c>
      <c r="E1017" s="12">
        <v>1.6261066043500099E-3</v>
      </c>
      <c r="F1017" s="8" t="s">
        <v>1565</v>
      </c>
      <c r="G1017" s="12" t="s">
        <v>12355</v>
      </c>
      <c r="H1017" s="12">
        <v>1</v>
      </c>
      <c r="I1017" s="13" t="str">
        <f>HYPERLINK("http://www.ncbi.nlm.nih.gov/gene/5048", "5048")</f>
        <v>5048</v>
      </c>
      <c r="J1017" s="13" t="str">
        <f>HYPERLINK("http://www.ncbi.nlm.nih.gov/nuccore/NM_000430", "NM_000430")</f>
        <v>NM_000430</v>
      </c>
      <c r="K1017" s="12" t="s">
        <v>1566</v>
      </c>
      <c r="L1017" s="13" t="str">
        <f>HYPERLINK("http://asia.ensembl.org/Homo_sapiens/Gene/Summary?g=ENSG00000007168", "ENSG00000007168")</f>
        <v>ENSG00000007168</v>
      </c>
      <c r="M1017" s="12" t="s">
        <v>12356</v>
      </c>
      <c r="N1017" s="12" t="s">
        <v>12357</v>
      </c>
    </row>
    <row r="1018" spans="1:14">
      <c r="A1018" s="12" t="s">
        <v>7850</v>
      </c>
      <c r="B1018" s="8">
        <v>719.82510235610403</v>
      </c>
      <c r="C1018" s="12">
        <v>308.27345139622503</v>
      </c>
      <c r="D1018" s="8">
        <v>1.22343576457693</v>
      </c>
      <c r="E1018" s="12">
        <v>8.8678426123078805E-3</v>
      </c>
      <c r="F1018" s="8" t="s">
        <v>7851</v>
      </c>
      <c r="G1018" s="12" t="s">
        <v>7852</v>
      </c>
      <c r="H1018" s="12">
        <v>1</v>
      </c>
      <c r="I1018" s="13" t="str">
        <f>HYPERLINK("http://www.ncbi.nlm.nih.gov/gene/4092", "4092")</f>
        <v>4092</v>
      </c>
      <c r="J1018" s="12" t="s">
        <v>14575</v>
      </c>
      <c r="K1018" s="12" t="s">
        <v>14576</v>
      </c>
      <c r="L1018" s="13" t="str">
        <f>HYPERLINK("http://asia.ensembl.org/Homo_sapiens/Gene/Summary?g=ENSG00000101665", "ENSG00000101665")</f>
        <v>ENSG00000101665</v>
      </c>
      <c r="M1018" s="12" t="s">
        <v>14577</v>
      </c>
      <c r="N1018" s="12" t="s">
        <v>14578</v>
      </c>
    </row>
    <row r="1019" spans="1:14">
      <c r="A1019" s="12" t="s">
        <v>10470</v>
      </c>
      <c r="B1019" s="8">
        <v>3049.0218158775301</v>
      </c>
      <c r="C1019" s="12">
        <v>1306.63079757633</v>
      </c>
      <c r="D1019" s="8">
        <v>1.22249492303441</v>
      </c>
      <c r="E1019" s="12">
        <v>7.2012528631960702E-3</v>
      </c>
      <c r="F1019" s="8" t="s">
        <v>5044</v>
      </c>
      <c r="G1019" s="12" t="s">
        <v>5045</v>
      </c>
      <c r="H1019" s="12">
        <v>1</v>
      </c>
      <c r="I1019" s="13" t="str">
        <f>HYPERLINK("http://www.ncbi.nlm.nih.gov/gene/55326", "55326")</f>
        <v>55326</v>
      </c>
      <c r="J1019" s="13" t="str">
        <f>HYPERLINK("http://www.ncbi.nlm.nih.gov/nuccore/NM_018361", "NM_018361")</f>
        <v>NM_018361</v>
      </c>
      <c r="K1019" s="12" t="s">
        <v>5046</v>
      </c>
      <c r="L1019" s="13" t="str">
        <f>HYPERLINK("http://asia.ensembl.org/Homo_sapiens/Gene/Summary?g=ENSG00000155189", "ENSG00000155189")</f>
        <v>ENSG00000155189</v>
      </c>
      <c r="M1019" s="12" t="s">
        <v>15441</v>
      </c>
      <c r="N1019" s="12" t="s">
        <v>15442</v>
      </c>
    </row>
    <row r="1020" spans="1:14">
      <c r="A1020" s="12" t="s">
        <v>11189</v>
      </c>
      <c r="B1020" s="8">
        <v>116.64546182589299</v>
      </c>
      <c r="C1020" s="12">
        <v>49.999999999999901</v>
      </c>
      <c r="D1020" s="8">
        <v>1.22213017934407</v>
      </c>
      <c r="E1020" s="12">
        <v>2.5318269756013198E-3</v>
      </c>
      <c r="F1020" s="8" t="s">
        <v>4036</v>
      </c>
      <c r="G1020" s="12" t="s">
        <v>4037</v>
      </c>
      <c r="H1020" s="12">
        <v>1</v>
      </c>
      <c r="I1020" s="13" t="str">
        <f>HYPERLINK("http://www.ncbi.nlm.nih.gov/gene/25777", "25777")</f>
        <v>25777</v>
      </c>
      <c r="J1020" s="12" t="s">
        <v>16022</v>
      </c>
      <c r="K1020" s="12" t="s">
        <v>16023</v>
      </c>
      <c r="L1020" s="13" t="str">
        <f>HYPERLINK("http://asia.ensembl.org/Homo_sapiens/Gene/Summary?g=ENSG00000100242", "ENSG00000100242")</f>
        <v>ENSG00000100242</v>
      </c>
      <c r="M1020" s="12" t="s">
        <v>16024</v>
      </c>
      <c r="N1020" s="12" t="s">
        <v>16025</v>
      </c>
    </row>
    <row r="1021" spans="1:14">
      <c r="A1021" s="12" t="s">
        <v>10596</v>
      </c>
      <c r="B1021" s="8">
        <v>1099.3644767134001</v>
      </c>
      <c r="C1021" s="12">
        <v>471.34656675110301</v>
      </c>
      <c r="D1021" s="8">
        <v>1.2218096432947101</v>
      </c>
      <c r="E1021" s="12">
        <v>7.9017318870671007E-3</v>
      </c>
      <c r="F1021" s="8" t="s">
        <v>1450</v>
      </c>
      <c r="G1021" s="12" t="s">
        <v>288</v>
      </c>
      <c r="H1021" s="12">
        <v>1</v>
      </c>
      <c r="I1021" s="13" t="str">
        <f>HYPERLINK("http://www.ncbi.nlm.nih.gov/gene/2773", "2773")</f>
        <v>2773</v>
      </c>
      <c r="J1021" s="13" t="str">
        <f>HYPERLINK("http://www.ncbi.nlm.nih.gov/nuccore/NM_006496", "NM_006496")</f>
        <v>NM_006496</v>
      </c>
      <c r="K1021" s="12" t="s">
        <v>1451</v>
      </c>
      <c r="L1021" s="13" t="str">
        <f>HYPERLINK("http://asia.ensembl.org/Homo_sapiens/Gene/Summary?g=ENSG00000065135", "ENSG00000065135")</f>
        <v>ENSG00000065135</v>
      </c>
      <c r="M1021" s="12" t="s">
        <v>1452</v>
      </c>
      <c r="N1021" s="12" t="s">
        <v>1453</v>
      </c>
    </row>
    <row r="1022" spans="1:14">
      <c r="A1022" s="12" t="s">
        <v>3777</v>
      </c>
      <c r="B1022" s="8">
        <v>1850.58053078124</v>
      </c>
      <c r="C1022" s="12">
        <v>794.10383452157203</v>
      </c>
      <c r="D1022" s="8">
        <v>1.2205783509536099</v>
      </c>
      <c r="E1022" s="12">
        <v>9.15918062352874E-4</v>
      </c>
      <c r="F1022" s="8" t="s">
        <v>3778</v>
      </c>
      <c r="G1022" s="12" t="s">
        <v>3779</v>
      </c>
      <c r="H1022" s="12">
        <v>1</v>
      </c>
      <c r="I1022" s="13" t="str">
        <f>HYPERLINK("http://www.ncbi.nlm.nih.gov/gene/149371", "149371")</f>
        <v>149371</v>
      </c>
      <c r="J1022" s="13" t="str">
        <f>HYPERLINK("http://www.ncbi.nlm.nih.gov/nuccore/NM_175876", "NM_175876")</f>
        <v>NM_175876</v>
      </c>
      <c r="K1022" s="12" t="s">
        <v>3780</v>
      </c>
      <c r="L1022" s="13" t="str">
        <f>HYPERLINK("http://asia.ensembl.org/Homo_sapiens/Gene/Summary?g=ENSG00000116903", "ENSG00000116903")</f>
        <v>ENSG00000116903</v>
      </c>
      <c r="M1022" s="12" t="s">
        <v>3781</v>
      </c>
      <c r="N1022" s="12" t="s">
        <v>3782</v>
      </c>
    </row>
    <row r="1023" spans="1:14">
      <c r="A1023" s="12" t="s">
        <v>5496</v>
      </c>
      <c r="B1023" s="8">
        <v>321.65778825906199</v>
      </c>
      <c r="C1023" s="12">
        <v>138.055276137682</v>
      </c>
      <c r="D1023" s="8">
        <v>1.2202805956151901</v>
      </c>
      <c r="E1023" s="12">
        <v>2.0250138182699301E-2</v>
      </c>
      <c r="F1023" s="8" t="s">
        <v>5497</v>
      </c>
      <c r="G1023" s="12" t="s">
        <v>5498</v>
      </c>
      <c r="H1023" s="12">
        <v>1</v>
      </c>
      <c r="I1023" s="13" t="str">
        <f>HYPERLINK("http://www.ncbi.nlm.nih.gov/gene/94134", "94134")</f>
        <v>94134</v>
      </c>
      <c r="J1023" s="12" t="s">
        <v>13787</v>
      </c>
      <c r="K1023" s="12" t="s">
        <v>13788</v>
      </c>
      <c r="L1023" s="13" t="str">
        <f>HYPERLINK("http://asia.ensembl.org/Homo_sapiens/Gene/Summary?g=ENSG00000165322", "ENSG00000165322")</f>
        <v>ENSG00000165322</v>
      </c>
      <c r="M1023" s="12" t="s">
        <v>13789</v>
      </c>
      <c r="N1023" s="12" t="s">
        <v>13790</v>
      </c>
    </row>
    <row r="1024" spans="1:14">
      <c r="A1024" s="12" t="s">
        <v>6322</v>
      </c>
      <c r="B1024" s="8">
        <v>1749.9139460772601</v>
      </c>
      <c r="C1024" s="12">
        <v>751.14300844563604</v>
      </c>
      <c r="D1024" s="8">
        <v>1.2201244672027101</v>
      </c>
      <c r="E1024" s="12">
        <v>1.0703122074309301E-2</v>
      </c>
      <c r="F1024" s="8" t="s">
        <v>6323</v>
      </c>
      <c r="G1024" s="12" t="s">
        <v>6324</v>
      </c>
      <c r="H1024" s="12">
        <v>1</v>
      </c>
      <c r="I1024" s="13" t="str">
        <f>HYPERLINK("http://www.ncbi.nlm.nih.gov/gene/3475", "3475")</f>
        <v>3475</v>
      </c>
      <c r="J1024" s="12" t="s">
        <v>14145</v>
      </c>
      <c r="K1024" s="12" t="s">
        <v>14146</v>
      </c>
      <c r="L1024" s="13" t="str">
        <f>HYPERLINK("http://asia.ensembl.org/Homo_sapiens/Gene/Summary?g=ENSG00000006652", "ENSG00000006652")</f>
        <v>ENSG00000006652</v>
      </c>
      <c r="M1024" s="12" t="s">
        <v>14147</v>
      </c>
      <c r="N1024" s="12" t="s">
        <v>14148</v>
      </c>
    </row>
    <row r="1025" spans="1:14">
      <c r="A1025" s="12" t="s">
        <v>10567</v>
      </c>
      <c r="B1025" s="8">
        <v>2602.6276078002102</v>
      </c>
      <c r="C1025" s="12">
        <v>1117.2636138303201</v>
      </c>
      <c r="D1025" s="8">
        <v>1.2199992770891499</v>
      </c>
      <c r="E1025" s="12">
        <v>3.2180061205209498E-3</v>
      </c>
      <c r="F1025" s="8" t="s">
        <v>8994</v>
      </c>
      <c r="G1025" s="12" t="s">
        <v>15570</v>
      </c>
      <c r="H1025" s="12">
        <v>1</v>
      </c>
      <c r="I1025" s="13" t="str">
        <f>HYPERLINK("http://www.ncbi.nlm.nih.gov/gene/23198", "23198")</f>
        <v>23198</v>
      </c>
      <c r="J1025" s="13" t="str">
        <f>HYPERLINK("http://www.ncbi.nlm.nih.gov/nuccore/NM_014614", "NM_014614")</f>
        <v>NM_014614</v>
      </c>
      <c r="K1025" s="12" t="s">
        <v>8995</v>
      </c>
      <c r="L1025" s="13" t="str">
        <f>HYPERLINK("http://asia.ensembl.org/Homo_sapiens/Gene/Summary?g=ENSG00000068878", "ENSG00000068878")</f>
        <v>ENSG00000068878</v>
      </c>
      <c r="M1025" s="12" t="s">
        <v>15571</v>
      </c>
      <c r="N1025" s="12" t="s">
        <v>15572</v>
      </c>
    </row>
    <row r="1026" spans="1:14">
      <c r="A1026" s="12" t="s">
        <v>10700</v>
      </c>
      <c r="B1026" s="8">
        <v>8868.2832136938505</v>
      </c>
      <c r="C1026" s="12">
        <v>3810.7287156187399</v>
      </c>
      <c r="D1026" s="8">
        <v>1.2185879373575299</v>
      </c>
      <c r="E1026" s="12">
        <v>3.0441265519544898E-3</v>
      </c>
      <c r="F1026" s="8" t="s">
        <v>5428</v>
      </c>
      <c r="G1026" s="12" t="s">
        <v>5429</v>
      </c>
      <c r="H1026" s="12">
        <v>1</v>
      </c>
      <c r="I1026" s="13" t="str">
        <f>HYPERLINK("http://www.ncbi.nlm.nih.gov/gene/55752", "55752")</f>
        <v>55752</v>
      </c>
      <c r="J1026" s="13" t="str">
        <f>HYPERLINK("http://www.ncbi.nlm.nih.gov/nuccore/NM_018243", "NM_018243")</f>
        <v>NM_018243</v>
      </c>
      <c r="K1026" s="12" t="s">
        <v>5430</v>
      </c>
      <c r="L1026" s="13" t="str">
        <f>HYPERLINK("http://asia.ensembl.org/Homo_sapiens/Gene/Summary?g=ENSG00000138758", "ENSG00000138758")</f>
        <v>ENSG00000138758</v>
      </c>
      <c r="M1026" s="12" t="s">
        <v>15735</v>
      </c>
      <c r="N1026" s="12" t="s">
        <v>15736</v>
      </c>
    </row>
    <row r="1027" spans="1:14">
      <c r="A1027" s="12" t="s">
        <v>2642</v>
      </c>
      <c r="B1027" s="8">
        <v>1102.3685583143499</v>
      </c>
      <c r="C1027" s="12">
        <v>474.15637367905299</v>
      </c>
      <c r="D1027" s="8">
        <v>1.21717181116232</v>
      </c>
      <c r="E1027" s="12">
        <v>4.1309318306316798E-3</v>
      </c>
      <c r="F1027" s="8" t="s">
        <v>2643</v>
      </c>
      <c r="G1027" s="12" t="s">
        <v>2644</v>
      </c>
      <c r="H1027" s="12">
        <v>1</v>
      </c>
      <c r="I1027" s="13" t="str">
        <f>HYPERLINK("http://www.ncbi.nlm.nih.gov/gene/9824", "9824")</f>
        <v>9824</v>
      </c>
      <c r="J1027" s="13" t="str">
        <f>HYPERLINK("http://www.ncbi.nlm.nih.gov/nuccore/NM_014783", "NM_014783")</f>
        <v>NM_014783</v>
      </c>
      <c r="K1027" s="12" t="s">
        <v>2645</v>
      </c>
      <c r="L1027" s="13" t="str">
        <f>HYPERLINK("http://asia.ensembl.org/Homo_sapiens/Gene/Summary?g=ENSG00000198826", "ENSG00000198826")</f>
        <v>ENSG00000198826</v>
      </c>
      <c r="M1027" s="12" t="s">
        <v>12728</v>
      </c>
      <c r="N1027" s="12" t="s">
        <v>12729</v>
      </c>
    </row>
    <row r="1028" spans="1:14">
      <c r="A1028" s="12" t="s">
        <v>6787</v>
      </c>
      <c r="B1028" s="8">
        <v>2610.3737314351301</v>
      </c>
      <c r="C1028" s="12">
        <v>1122.9607884637801</v>
      </c>
      <c r="D1028" s="8">
        <v>1.21694882196495</v>
      </c>
      <c r="E1028" s="12">
        <v>6.28159300130044E-3</v>
      </c>
      <c r="F1028" s="8" t="s">
        <v>6788</v>
      </c>
      <c r="G1028" s="12" t="s">
        <v>14261</v>
      </c>
      <c r="H1028" s="12">
        <v>1</v>
      </c>
      <c r="I1028" s="13" t="str">
        <f>HYPERLINK("http://www.ncbi.nlm.nih.gov/gene/53981", "53981")</f>
        <v>53981</v>
      </c>
      <c r="J1028" s="13" t="str">
        <f>HYPERLINK("http://www.ncbi.nlm.nih.gov/nuccore/NM_017437", "NM_017437")</f>
        <v>NM_017437</v>
      </c>
      <c r="K1028" s="12" t="s">
        <v>6789</v>
      </c>
      <c r="L1028" s="13" t="str">
        <f>HYPERLINK("http://asia.ensembl.org/Homo_sapiens/Gene/Summary?g=ENSG00000165934", "ENSG00000165934")</f>
        <v>ENSG00000165934</v>
      </c>
      <c r="M1028" s="12" t="s">
        <v>14262</v>
      </c>
      <c r="N1028" s="12" t="s">
        <v>14263</v>
      </c>
    </row>
    <row r="1029" spans="1:14">
      <c r="A1029" s="12" t="s">
        <v>866</v>
      </c>
      <c r="B1029" s="8">
        <v>2660.6219482845599</v>
      </c>
      <c r="C1029" s="12">
        <v>1144.87947556732</v>
      </c>
      <c r="D1029" s="8">
        <v>1.2165678001804801</v>
      </c>
      <c r="E1029" s="12">
        <v>2.35352980652586E-3</v>
      </c>
      <c r="F1029" s="8" t="s">
        <v>867</v>
      </c>
      <c r="G1029" s="12" t="s">
        <v>12146</v>
      </c>
      <c r="H1029" s="12">
        <v>1</v>
      </c>
      <c r="I1029" s="13" t="str">
        <f>HYPERLINK("http://www.ncbi.nlm.nih.gov/gene/55591", "55591")</f>
        <v>55591</v>
      </c>
      <c r="J1029" s="12" t="s">
        <v>12147</v>
      </c>
      <c r="K1029" s="12" t="s">
        <v>12148</v>
      </c>
      <c r="L1029" s="13" t="str">
        <f>HYPERLINK("http://asia.ensembl.org/Homo_sapiens/Gene/Summary?g=ENSG00000028203", "ENSG00000028203")</f>
        <v>ENSG00000028203</v>
      </c>
      <c r="M1029" s="12" t="s">
        <v>12149</v>
      </c>
      <c r="N1029" s="12" t="s">
        <v>12150</v>
      </c>
    </row>
    <row r="1030" spans="1:14">
      <c r="A1030" s="12" t="s">
        <v>2822</v>
      </c>
      <c r="B1030" s="8">
        <v>472.46378940096901</v>
      </c>
      <c r="C1030" s="12">
        <v>203.30642973076399</v>
      </c>
      <c r="D1030" s="8">
        <v>1.21654792014281</v>
      </c>
      <c r="E1030" s="12">
        <v>1.5783395520875801E-3</v>
      </c>
      <c r="F1030" s="8" t="s">
        <v>2823</v>
      </c>
      <c r="G1030" s="12" t="s">
        <v>2824</v>
      </c>
      <c r="H1030" s="12">
        <v>1</v>
      </c>
      <c r="I1030" s="13" t="str">
        <f>HYPERLINK("http://www.ncbi.nlm.nih.gov/gene/255967", "255967")</f>
        <v>255967</v>
      </c>
      <c r="J1030" s="13" t="str">
        <f>HYPERLINK("http://www.ncbi.nlm.nih.gov/nuccore/NM_175854", "NM_175854")</f>
        <v>NM_175854</v>
      </c>
      <c r="K1030" s="12" t="s">
        <v>2825</v>
      </c>
      <c r="L1030" s="13" t="str">
        <f>HYPERLINK("http://asia.ensembl.org/Homo_sapiens/Gene/Summary?g=ENSG00000152520", "ENSG00000152520")</f>
        <v>ENSG00000152520</v>
      </c>
      <c r="M1030" s="12" t="s">
        <v>12791</v>
      </c>
      <c r="N1030" s="12" t="s">
        <v>12792</v>
      </c>
    </row>
    <row r="1031" spans="1:14">
      <c r="A1031" s="12" t="s">
        <v>7502</v>
      </c>
      <c r="B1031" s="8">
        <v>3939.4433708814199</v>
      </c>
      <c r="C1031" s="12">
        <v>1696.504973677</v>
      </c>
      <c r="D1031" s="8">
        <v>1.2154261368511501</v>
      </c>
      <c r="E1031" s="12">
        <v>4.3040169354541099E-3</v>
      </c>
      <c r="F1031" s="8" t="s">
        <v>7503</v>
      </c>
      <c r="G1031" s="12" t="s">
        <v>1155</v>
      </c>
      <c r="H1031" s="12">
        <v>1</v>
      </c>
      <c r="I1031" s="13" t="str">
        <f>HYPERLINK("http://www.ncbi.nlm.nih.gov/gene/7994", "7994")</f>
        <v>7994</v>
      </c>
      <c r="J1031" s="13" t="str">
        <f>HYPERLINK("http://www.ncbi.nlm.nih.gov/nuccore/NM_006766", "NM_006766")</f>
        <v>NM_006766</v>
      </c>
      <c r="K1031" s="12" t="s">
        <v>7504</v>
      </c>
      <c r="L1031" s="13" t="str">
        <f>HYPERLINK("http://asia.ensembl.org/Homo_sapiens/Gene/Summary?g=ENSG00000083168", "ENSG00000083168")</f>
        <v>ENSG00000083168</v>
      </c>
      <c r="M1031" s="12" t="s">
        <v>14454</v>
      </c>
      <c r="N1031" s="12" t="s">
        <v>14455</v>
      </c>
    </row>
    <row r="1032" spans="1:14">
      <c r="A1032" s="12" t="s">
        <v>10507</v>
      </c>
      <c r="B1032" s="8">
        <v>4616.7127296711196</v>
      </c>
      <c r="C1032" s="12">
        <v>1988.8360285700101</v>
      </c>
      <c r="D1032" s="8">
        <v>1.2149416281805001</v>
      </c>
      <c r="E1032" s="12">
        <v>8.7595816298303795E-3</v>
      </c>
      <c r="F1032" s="8" t="s">
        <v>1383</v>
      </c>
      <c r="G1032" s="12" t="s">
        <v>1384</v>
      </c>
      <c r="H1032" s="12">
        <v>1</v>
      </c>
      <c r="I1032" s="13" t="str">
        <f>HYPERLINK("http://www.ncbi.nlm.nih.gov/gene/23219", "23219")</f>
        <v>23219</v>
      </c>
      <c r="J1032" s="12" t="s">
        <v>15496</v>
      </c>
      <c r="K1032" s="12" t="s">
        <v>15497</v>
      </c>
      <c r="L1032" s="13" t="str">
        <f>HYPERLINK("http://asia.ensembl.org/Homo_sapiens/Gene/Summary?g=ENSG00000143756", "ENSG00000143756")</f>
        <v>ENSG00000143756</v>
      </c>
      <c r="M1032" s="12" t="s">
        <v>15498</v>
      </c>
      <c r="N1032" s="12" t="s">
        <v>15499</v>
      </c>
    </row>
    <row r="1033" spans="1:14">
      <c r="A1033" s="12" t="s">
        <v>10776</v>
      </c>
      <c r="B1033" s="8">
        <v>4483.6705384131801</v>
      </c>
      <c r="C1033" s="12">
        <v>1931.7347234153001</v>
      </c>
      <c r="D1033" s="8">
        <v>1.21478328348403</v>
      </c>
      <c r="E1033" s="12">
        <v>2.4571875297994699E-3</v>
      </c>
      <c r="F1033" s="8" t="s">
        <v>412</v>
      </c>
      <c r="G1033" s="12" t="s">
        <v>413</v>
      </c>
      <c r="H1033" s="12">
        <v>1</v>
      </c>
      <c r="I1033" s="13" t="str">
        <f>HYPERLINK("http://www.ncbi.nlm.nih.gov/gene/23429", "23429")</f>
        <v>23429</v>
      </c>
      <c r="J1033" s="13" t="str">
        <f>HYPERLINK("http://www.ncbi.nlm.nih.gov/nuccore/NM_012234", "NM_012234")</f>
        <v>NM_012234</v>
      </c>
      <c r="K1033" s="12" t="s">
        <v>414</v>
      </c>
      <c r="L1033" s="13" t="str">
        <f>HYPERLINK("http://asia.ensembl.org/Homo_sapiens/Gene/Summary?g=ENSG00000163602", "ENSG00000163602")</f>
        <v>ENSG00000163602</v>
      </c>
      <c r="M1033" s="12" t="s">
        <v>415</v>
      </c>
      <c r="N1033" s="12" t="s">
        <v>416</v>
      </c>
    </row>
    <row r="1034" spans="1:14">
      <c r="A1034" s="12" t="s">
        <v>9561</v>
      </c>
      <c r="B1034" s="8">
        <v>1457.83251359117</v>
      </c>
      <c r="C1034" s="12">
        <v>628.51259089973598</v>
      </c>
      <c r="D1034" s="8">
        <v>1.2138114305352501</v>
      </c>
      <c r="E1034" s="12">
        <v>1.0556763901660099E-3</v>
      </c>
      <c r="F1034" s="8" t="s">
        <v>9562</v>
      </c>
      <c r="G1034" s="12" t="s">
        <v>15082</v>
      </c>
      <c r="H1034" s="12">
        <v>1</v>
      </c>
      <c r="I1034" s="13" t="str">
        <f>HYPERLINK("http://www.ncbi.nlm.nih.gov/gene/6990", "6990")</f>
        <v>6990</v>
      </c>
      <c r="J1034" s="13" t="str">
        <f>HYPERLINK("http://www.ncbi.nlm.nih.gov/nuccore/NM_006520", "NM_006520")</f>
        <v>NM_006520</v>
      </c>
      <c r="K1034" s="12" t="s">
        <v>9563</v>
      </c>
      <c r="L1034" s="13" t="str">
        <f>HYPERLINK("http://asia.ensembl.org/Homo_sapiens/Gene/Summary?g=ENSG00000165169", "ENSG00000165169")</f>
        <v>ENSG00000165169</v>
      </c>
      <c r="M1034" s="12" t="s">
        <v>15083</v>
      </c>
      <c r="N1034" s="12" t="s">
        <v>15084</v>
      </c>
    </row>
    <row r="1035" spans="1:14">
      <c r="A1035" s="12" t="s">
        <v>6164</v>
      </c>
      <c r="B1035" s="8">
        <v>651.56032298336697</v>
      </c>
      <c r="C1035" s="12">
        <v>281.13702258715699</v>
      </c>
      <c r="D1035" s="8">
        <v>1.2126253001121099</v>
      </c>
      <c r="E1035" s="12">
        <v>2.6462784499809301E-2</v>
      </c>
      <c r="F1035" s="8" t="s">
        <v>6165</v>
      </c>
      <c r="G1035" s="12" t="s">
        <v>6166</v>
      </c>
      <c r="H1035" s="12">
        <v>1</v>
      </c>
      <c r="I1035" s="13" t="str">
        <f>HYPERLINK("http://www.ncbi.nlm.nih.gov/gene/255231", "255231")</f>
        <v>255231</v>
      </c>
      <c r="J1035" s="13" t="str">
        <f>HYPERLINK("http://www.ncbi.nlm.nih.gov/nuccore/NM_153259", "NM_153259")</f>
        <v>NM_153259</v>
      </c>
      <c r="K1035" s="12" t="s">
        <v>6167</v>
      </c>
      <c r="L1035" s="13" t="str">
        <f>HYPERLINK("http://asia.ensembl.org/Homo_sapiens/Gene/Summary?g=ENSG00000153898", "ENSG00000153898")</f>
        <v>ENSG00000153898</v>
      </c>
      <c r="M1035" s="12" t="s">
        <v>14071</v>
      </c>
      <c r="N1035" s="12" t="s">
        <v>14072</v>
      </c>
    </row>
    <row r="1036" spans="1:14">
      <c r="A1036" s="12" t="s">
        <v>4027</v>
      </c>
      <c r="B1036" s="8">
        <v>607.68861802992001</v>
      </c>
      <c r="C1036" s="12">
        <v>262.309691894644</v>
      </c>
      <c r="D1036" s="8">
        <v>1.21206115684463</v>
      </c>
      <c r="E1036" s="12">
        <v>2.9134554886014401E-2</v>
      </c>
      <c r="F1036" s="8" t="s">
        <v>4028</v>
      </c>
      <c r="G1036" s="12" t="s">
        <v>4029</v>
      </c>
      <c r="H1036" s="12">
        <v>1</v>
      </c>
      <c r="I1036" s="13" t="str">
        <f>HYPERLINK("http://www.ncbi.nlm.nih.gov/gene/57396", "57396")</f>
        <v>57396</v>
      </c>
      <c r="J1036" s="13" t="str">
        <f>HYPERLINK("http://www.ncbi.nlm.nih.gov/nuccore/NM_020666", "NM_020666")</f>
        <v>NM_020666</v>
      </c>
      <c r="K1036" s="12" t="s">
        <v>4030</v>
      </c>
      <c r="L1036" s="13" t="str">
        <f>HYPERLINK("http://asia.ensembl.org/Homo_sapiens/Gene/Summary?g=ENSG00000113240", "ENSG00000113240")</f>
        <v>ENSG00000113240</v>
      </c>
      <c r="M1036" s="12" t="s">
        <v>13158</v>
      </c>
      <c r="N1036" s="12" t="s">
        <v>13159</v>
      </c>
    </row>
    <row r="1037" spans="1:14">
      <c r="A1037" s="12" t="s">
        <v>6400</v>
      </c>
      <c r="B1037" s="8">
        <v>1359.6079019825499</v>
      </c>
      <c r="C1037" s="12">
        <v>587.05934476063806</v>
      </c>
      <c r="D1037" s="8">
        <v>1.2116123966624299</v>
      </c>
      <c r="E1037" s="12">
        <v>1.43632882671022E-3</v>
      </c>
      <c r="F1037" s="8" t="s">
        <v>6401</v>
      </c>
      <c r="G1037" s="12" t="s">
        <v>14164</v>
      </c>
      <c r="H1037" s="12">
        <v>1</v>
      </c>
      <c r="I1037" s="13" t="str">
        <f>HYPERLINK("http://www.ncbi.nlm.nih.gov/gene/6198", "6198")</f>
        <v>6198</v>
      </c>
      <c r="J1037" s="12" t="s">
        <v>14165</v>
      </c>
      <c r="K1037" s="12" t="s">
        <v>14166</v>
      </c>
      <c r="L1037" s="13" t="str">
        <f>HYPERLINK("http://asia.ensembl.org/Homo_sapiens/Gene/Summary?g=ENSG00000108443", "ENSG00000108443")</f>
        <v>ENSG00000108443</v>
      </c>
      <c r="M1037" s="12" t="s">
        <v>14167</v>
      </c>
      <c r="N1037" s="12" t="s">
        <v>14168</v>
      </c>
    </row>
    <row r="1038" spans="1:14">
      <c r="A1038" s="12" t="s">
        <v>10238</v>
      </c>
      <c r="B1038" s="8">
        <v>1285.0641769019501</v>
      </c>
      <c r="C1038" s="12">
        <v>555.27676132494105</v>
      </c>
      <c r="D1038" s="8">
        <v>1.21056148567527</v>
      </c>
      <c r="E1038" s="12">
        <v>6.8293067543505502E-3</v>
      </c>
      <c r="F1038" s="8" t="s">
        <v>6635</v>
      </c>
      <c r="G1038" s="12" t="s">
        <v>6636</v>
      </c>
      <c r="H1038" s="12">
        <v>1</v>
      </c>
      <c r="I1038" s="13" t="str">
        <f>HYPERLINK("http://www.ncbi.nlm.nih.gov/gene/1488", "1488")</f>
        <v>1488</v>
      </c>
      <c r="J1038" s="12" t="s">
        <v>15328</v>
      </c>
      <c r="K1038" s="12" t="s">
        <v>15329</v>
      </c>
      <c r="L1038" s="13" t="str">
        <f>HYPERLINK("http://asia.ensembl.org/Homo_sapiens/Gene/Summary?g=ENSG00000175029", "ENSG00000175029")</f>
        <v>ENSG00000175029</v>
      </c>
      <c r="M1038" s="12" t="s">
        <v>15330</v>
      </c>
      <c r="N1038" s="12" t="s">
        <v>15331</v>
      </c>
    </row>
    <row r="1039" spans="1:14">
      <c r="A1039" s="12" t="s">
        <v>10676</v>
      </c>
      <c r="B1039" s="8">
        <v>738.88899966035603</v>
      </c>
      <c r="C1039" s="12">
        <v>319.284715461941</v>
      </c>
      <c r="D1039" s="8">
        <v>1.2105141593041999</v>
      </c>
      <c r="E1039" s="12">
        <v>3.4222453499808E-3</v>
      </c>
      <c r="F1039" s="8" t="s">
        <v>2146</v>
      </c>
      <c r="G1039" s="12" t="s">
        <v>2147</v>
      </c>
      <c r="H1039" s="12">
        <v>1</v>
      </c>
      <c r="I1039" s="13" t="str">
        <f>HYPERLINK("http://www.ncbi.nlm.nih.gov/gene/9732", "9732")</f>
        <v>9732</v>
      </c>
      <c r="J1039" s="13" t="str">
        <f>HYPERLINK("http://www.ncbi.nlm.nih.gov/nuccore/NM_014705", "NM_014705")</f>
        <v>NM_014705</v>
      </c>
      <c r="K1039" s="12" t="s">
        <v>2148</v>
      </c>
      <c r="L1039" s="13" t="str">
        <f>HYPERLINK("http://asia.ensembl.org/Homo_sapiens/Gene/Summary?g=ENSG00000128512", "ENSG00000128512")</f>
        <v>ENSG00000128512</v>
      </c>
      <c r="M1039" s="12" t="s">
        <v>15696</v>
      </c>
      <c r="N1039" s="12" t="s">
        <v>15697</v>
      </c>
    </row>
    <row r="1040" spans="1:14">
      <c r="A1040" s="12" t="s">
        <v>5870</v>
      </c>
      <c r="B1040" s="8">
        <v>2493.9033055109098</v>
      </c>
      <c r="C1040" s="12">
        <v>1077.75624820302</v>
      </c>
      <c r="D1040" s="8">
        <v>1.21037460313023</v>
      </c>
      <c r="E1040" s="12">
        <v>1.5075161673604299E-2</v>
      </c>
      <c r="F1040" s="8" t="s">
        <v>5871</v>
      </c>
      <c r="G1040" s="12" t="s">
        <v>5872</v>
      </c>
      <c r="H1040" s="12">
        <v>1</v>
      </c>
      <c r="I1040" s="13" t="str">
        <f>HYPERLINK("http://www.ncbi.nlm.nih.gov/gene/23321", "23321")</f>
        <v>23321</v>
      </c>
      <c r="J1040" s="12" t="s">
        <v>13941</v>
      </c>
      <c r="K1040" s="12" t="s">
        <v>13942</v>
      </c>
      <c r="L1040" s="13" t="str">
        <f>HYPERLINK("http://asia.ensembl.org/Homo_sapiens/Gene/Summary?g=ENSG00000109654", "ENSG00000109654")</f>
        <v>ENSG00000109654</v>
      </c>
      <c r="M1040" s="12" t="s">
        <v>13943</v>
      </c>
      <c r="N1040" s="12" t="s">
        <v>13944</v>
      </c>
    </row>
    <row r="1041" spans="1:14">
      <c r="A1041" s="12" t="s">
        <v>6630</v>
      </c>
      <c r="B1041" s="8">
        <v>13904.351351199201</v>
      </c>
      <c r="C1041" s="12">
        <v>6009.5664748974896</v>
      </c>
      <c r="D1041" s="8">
        <v>1.2102036184206499</v>
      </c>
      <c r="E1041" s="12">
        <v>7.5870745361566799E-3</v>
      </c>
      <c r="F1041" s="8" t="s">
        <v>6631</v>
      </c>
      <c r="G1041" s="12" t="s">
        <v>6632</v>
      </c>
      <c r="H1041" s="12">
        <v>1</v>
      </c>
      <c r="I1041" s="13" t="str">
        <f>HYPERLINK("http://www.ncbi.nlm.nih.gov/gene/3192", "3192")</f>
        <v>3192</v>
      </c>
      <c r="J1041" s="12" t="s">
        <v>14224</v>
      </c>
      <c r="K1041" s="12" t="s">
        <v>14225</v>
      </c>
      <c r="L1041" s="13" t="str">
        <f>HYPERLINK("http://asia.ensembl.org/Homo_sapiens/Gene/Summary?g=ENSG00000153187", "ENSG00000153187")</f>
        <v>ENSG00000153187</v>
      </c>
      <c r="M1041" s="12" t="s">
        <v>14226</v>
      </c>
      <c r="N1041" s="12" t="s">
        <v>14227</v>
      </c>
    </row>
    <row r="1042" spans="1:14">
      <c r="A1042" s="12" t="s">
        <v>1108</v>
      </c>
      <c r="B1042" s="8">
        <v>525.17351487199699</v>
      </c>
      <c r="C1042" s="12">
        <v>227.13951862943</v>
      </c>
      <c r="D1042" s="8">
        <v>1.20921542757331</v>
      </c>
      <c r="E1042" s="12">
        <v>2.3639786067916401E-2</v>
      </c>
      <c r="F1042" s="8" t="s">
        <v>1109</v>
      </c>
      <c r="G1042" s="12" t="s">
        <v>1110</v>
      </c>
      <c r="H1042" s="12">
        <v>1</v>
      </c>
      <c r="I1042" s="13" t="str">
        <f>HYPERLINK("http://www.ncbi.nlm.nih.gov/gene/7398", "7398")</f>
        <v>7398</v>
      </c>
      <c r="J1042" s="12" t="s">
        <v>12228</v>
      </c>
      <c r="K1042" s="12" t="s">
        <v>12229</v>
      </c>
      <c r="L1042" s="13" t="str">
        <f>HYPERLINK("http://asia.ensembl.org/Homo_sapiens/Gene/Summary?g=ENSG00000162607", "ENSG00000162607")</f>
        <v>ENSG00000162607</v>
      </c>
      <c r="M1042" s="12" t="s">
        <v>12230</v>
      </c>
      <c r="N1042" s="12" t="s">
        <v>12231</v>
      </c>
    </row>
    <row r="1043" spans="1:14">
      <c r="A1043" s="12" t="s">
        <v>4600</v>
      </c>
      <c r="B1043" s="8">
        <v>435.62547251094401</v>
      </c>
      <c r="C1043" s="12">
        <v>188.470104573264</v>
      </c>
      <c r="D1043" s="8">
        <v>1.2087526167659901</v>
      </c>
      <c r="E1043" s="12">
        <v>4.5132047638282904E-3</v>
      </c>
      <c r="F1043" s="8" t="s">
        <v>4601</v>
      </c>
      <c r="G1043" s="12" t="s">
        <v>4602</v>
      </c>
      <c r="H1043" s="12">
        <v>1</v>
      </c>
      <c r="I1043" s="13" t="str">
        <f>HYPERLINK("http://www.ncbi.nlm.nih.gov/gene/8925", "8925")</f>
        <v>8925</v>
      </c>
      <c r="J1043" s="13" t="str">
        <f>HYPERLINK("http://www.ncbi.nlm.nih.gov/nuccore/NM_003922", "NM_003922")</f>
        <v>NM_003922</v>
      </c>
      <c r="K1043" s="12" t="s">
        <v>4603</v>
      </c>
      <c r="L1043" s="13" t="str">
        <f>HYPERLINK("http://asia.ensembl.org/Homo_sapiens/Gene/Summary?g=ENSG00000103657", "ENSG00000103657")</f>
        <v>ENSG00000103657</v>
      </c>
      <c r="M1043" s="12" t="s">
        <v>13309</v>
      </c>
      <c r="N1043" s="12" t="s">
        <v>13310</v>
      </c>
    </row>
    <row r="1044" spans="1:14">
      <c r="A1044" s="12" t="s">
        <v>10767</v>
      </c>
      <c r="B1044" s="8">
        <v>420.89433257947701</v>
      </c>
      <c r="C1044" s="12">
        <v>182.10540289061399</v>
      </c>
      <c r="D1044" s="8">
        <v>1.20868435734072</v>
      </c>
      <c r="E1044" s="12">
        <v>7.2278441416844703E-3</v>
      </c>
      <c r="F1044" s="8" t="s">
        <v>1746</v>
      </c>
      <c r="G1044" s="12" t="s">
        <v>1747</v>
      </c>
      <c r="H1044" s="12">
        <v>1</v>
      </c>
      <c r="I1044" s="13" t="str">
        <f>HYPERLINK("http://www.ncbi.nlm.nih.gov/gene/4291", "4291")</f>
        <v>4291</v>
      </c>
      <c r="J1044" s="12" t="s">
        <v>15844</v>
      </c>
      <c r="K1044" s="12" t="s">
        <v>15845</v>
      </c>
      <c r="L1044" s="13" t="str">
        <f>HYPERLINK("http://asia.ensembl.org/Homo_sapiens/Gene/Summary?g=ENSG00000178053", "ENSG00000178053")</f>
        <v>ENSG00000178053</v>
      </c>
      <c r="M1044" s="12" t="s">
        <v>15846</v>
      </c>
      <c r="N1044" s="12" t="s">
        <v>15847</v>
      </c>
    </row>
    <row r="1045" spans="1:14">
      <c r="A1045" s="12" t="s">
        <v>7971</v>
      </c>
      <c r="B1045" s="8">
        <v>3459.14671157467</v>
      </c>
      <c r="C1045" s="12">
        <v>1497.10882170017</v>
      </c>
      <c r="D1045" s="8">
        <v>1.2082371118422199</v>
      </c>
      <c r="E1045" s="12">
        <v>3.74129974774692E-3</v>
      </c>
      <c r="F1045" s="8" t="s">
        <v>7972</v>
      </c>
      <c r="G1045" s="12" t="s">
        <v>7973</v>
      </c>
      <c r="H1045" s="12">
        <v>1</v>
      </c>
      <c r="I1045" s="13" t="str">
        <f>HYPERLINK("http://www.ncbi.nlm.nih.gov/gene/65117", "65117")</f>
        <v>65117</v>
      </c>
      <c r="J1045" s="12" t="s">
        <v>14624</v>
      </c>
      <c r="K1045" s="12" t="s">
        <v>14625</v>
      </c>
      <c r="L1045" s="13" t="str">
        <f>HYPERLINK("http://asia.ensembl.org/Homo_sapiens/Gene/Summary?g=ENSG00000111011", "ENSG00000111011")</f>
        <v>ENSG00000111011</v>
      </c>
      <c r="M1045" s="12" t="s">
        <v>14626</v>
      </c>
      <c r="N1045" s="12" t="s">
        <v>14627</v>
      </c>
    </row>
    <row r="1046" spans="1:14">
      <c r="A1046" s="12" t="s">
        <v>8965</v>
      </c>
      <c r="B1046" s="8">
        <v>2149.38316947774</v>
      </c>
      <c r="C1046" s="12">
        <v>930.365483275717</v>
      </c>
      <c r="D1046" s="8">
        <v>1.2080532155514201</v>
      </c>
      <c r="E1046" s="12">
        <v>6.5413288227621604E-3</v>
      </c>
      <c r="F1046" s="8" t="s">
        <v>8966</v>
      </c>
      <c r="G1046" s="12" t="s">
        <v>14948</v>
      </c>
      <c r="H1046" s="12">
        <v>1</v>
      </c>
      <c r="I1046" s="13" t="str">
        <f>HYPERLINK("http://www.ncbi.nlm.nih.gov/gene/8518", "8518")</f>
        <v>8518</v>
      </c>
      <c r="J1046" s="13" t="str">
        <f>HYPERLINK("http://www.ncbi.nlm.nih.gov/nuccore/NM_003640", "NM_003640")</f>
        <v>NM_003640</v>
      </c>
      <c r="K1046" s="12" t="s">
        <v>8967</v>
      </c>
      <c r="L1046" s="13" t="str">
        <f>HYPERLINK("http://asia.ensembl.org/Homo_sapiens/Gene/Summary?g=ENSG00000070061", "ENSG00000070061")</f>
        <v>ENSG00000070061</v>
      </c>
      <c r="M1046" s="12" t="s">
        <v>14949</v>
      </c>
      <c r="N1046" s="12" t="s">
        <v>14950</v>
      </c>
    </row>
    <row r="1047" spans="1:14">
      <c r="A1047" s="12" t="s">
        <v>10076</v>
      </c>
      <c r="B1047" s="8">
        <v>344.32963399360898</v>
      </c>
      <c r="C1047" s="12">
        <v>149.07509033315699</v>
      </c>
      <c r="D1047" s="8">
        <v>1.20775113774044</v>
      </c>
      <c r="E1047" s="12">
        <v>7.7918164056326204E-3</v>
      </c>
      <c r="F1047" s="8" t="s">
        <v>4564</v>
      </c>
      <c r="G1047" s="12" t="s">
        <v>15285</v>
      </c>
      <c r="H1047" s="12">
        <v>1</v>
      </c>
      <c r="I1047" s="13" t="str">
        <f>HYPERLINK("http://www.ncbi.nlm.nih.gov/gene/5494", "5494")</f>
        <v>5494</v>
      </c>
      <c r="J1047" s="13" t="str">
        <f>HYPERLINK("http://www.ncbi.nlm.nih.gov/nuccore/NM_177951", "NM_177951")</f>
        <v>NM_177951</v>
      </c>
      <c r="K1047" s="12" t="s">
        <v>10077</v>
      </c>
      <c r="L1047" s="13" t="str">
        <f>HYPERLINK("http://asia.ensembl.org/Homo_sapiens/Gene/Summary?g=ENSG00000100614", "ENSG00000100614")</f>
        <v>ENSG00000100614</v>
      </c>
      <c r="M1047" s="12" t="s">
        <v>15286</v>
      </c>
      <c r="N1047" s="12" t="s">
        <v>15287</v>
      </c>
    </row>
    <row r="1048" spans="1:14">
      <c r="A1048" s="12" t="s">
        <v>11629</v>
      </c>
      <c r="B1048" s="8">
        <v>4398.9758427586803</v>
      </c>
      <c r="C1048" s="12">
        <v>1904.99059966659</v>
      </c>
      <c r="D1048" s="8">
        <v>1.20738379998454</v>
      </c>
      <c r="E1048" s="12">
        <v>1.78790264407182E-3</v>
      </c>
      <c r="F1048" s="8" t="s">
        <v>11630</v>
      </c>
      <c r="G1048" s="12" t="s">
        <v>11631</v>
      </c>
      <c r="H1048" s="12">
        <v>1</v>
      </c>
      <c r="I1048" s="13" t="str">
        <f>HYPERLINK("http://www.ncbi.nlm.nih.gov/gene/84154", "84154")</f>
        <v>84154</v>
      </c>
      <c r="J1048" s="12" t="s">
        <v>16174</v>
      </c>
      <c r="K1048" s="12" t="s">
        <v>16175</v>
      </c>
      <c r="L1048" s="13" t="str">
        <f>HYPERLINK("http://asia.ensembl.org/Homo_sapiens/Gene/Summary?g=ENSG00000197498", "ENSG00000197498")</f>
        <v>ENSG00000197498</v>
      </c>
      <c r="M1048" s="12" t="s">
        <v>16176</v>
      </c>
      <c r="N1048" s="12" t="s">
        <v>16177</v>
      </c>
    </row>
    <row r="1049" spans="1:14">
      <c r="A1049" s="12" t="s">
        <v>8008</v>
      </c>
      <c r="B1049" s="8">
        <v>3273.72793286978</v>
      </c>
      <c r="C1049" s="12">
        <v>1418.2406566964</v>
      </c>
      <c r="D1049" s="8">
        <v>1.2068320702406301</v>
      </c>
      <c r="E1049" s="12">
        <v>9.2663106299827698E-4</v>
      </c>
      <c r="F1049" s="8" t="s">
        <v>5972</v>
      </c>
      <c r="G1049" s="12" t="s">
        <v>1261</v>
      </c>
      <c r="H1049" s="12">
        <v>1</v>
      </c>
      <c r="I1049" s="13" t="str">
        <f>HYPERLINK("http://www.ncbi.nlm.nih.gov/gene/79718", "79718")</f>
        <v>79718</v>
      </c>
      <c r="J1049" s="13" t="str">
        <f>HYPERLINK("http://www.ncbi.nlm.nih.gov/nuccore/NM_024665", "NM_024665")</f>
        <v>NM_024665</v>
      </c>
      <c r="K1049" s="12" t="s">
        <v>5973</v>
      </c>
      <c r="L1049" s="13" t="str">
        <f>HYPERLINK("http://asia.ensembl.org/Homo_sapiens/Gene/Summary?g=ENSG00000177565", "ENSG00000177565")</f>
        <v>ENSG00000177565</v>
      </c>
      <c r="M1049" s="12" t="s">
        <v>13989</v>
      </c>
      <c r="N1049" s="12" t="s">
        <v>13990</v>
      </c>
    </row>
    <row r="1050" spans="1:14">
      <c r="A1050" s="12" t="s">
        <v>10723</v>
      </c>
      <c r="B1050" s="8">
        <v>5423.91641240848</v>
      </c>
      <c r="C1050" s="12">
        <v>2349.8419287864599</v>
      </c>
      <c r="D1050" s="8">
        <v>1.2067712337868</v>
      </c>
      <c r="E1050" s="12">
        <v>2.8638864645860501E-3</v>
      </c>
      <c r="F1050" s="8" t="s">
        <v>9023</v>
      </c>
      <c r="G1050" s="12" t="s">
        <v>15771</v>
      </c>
      <c r="H1050" s="12">
        <v>1</v>
      </c>
      <c r="I1050" s="13" t="str">
        <f>HYPERLINK("http://www.ncbi.nlm.nih.gov/gene/57472", "57472")</f>
        <v>57472</v>
      </c>
      <c r="J1050" s="12" t="s">
        <v>15772</v>
      </c>
      <c r="K1050" s="12" t="s">
        <v>15773</v>
      </c>
      <c r="L1050" s="13" t="str">
        <f>HYPERLINK("http://asia.ensembl.org/Homo_sapiens/Gene/Summary?g=ENSG00000113300", "ENSG00000113300")</f>
        <v>ENSG00000113300</v>
      </c>
      <c r="M1050" s="12" t="s">
        <v>15774</v>
      </c>
      <c r="N1050" s="12" t="s">
        <v>15775</v>
      </c>
    </row>
    <row r="1051" spans="1:14">
      <c r="A1051" s="12" t="s">
        <v>10741</v>
      </c>
      <c r="B1051" s="8">
        <v>2371.1774769254498</v>
      </c>
      <c r="C1051" s="12">
        <v>1027.54139926997</v>
      </c>
      <c r="D1051" s="8">
        <v>1.2064071283742901</v>
      </c>
      <c r="E1051" s="12">
        <v>1.0897415567253601E-2</v>
      </c>
      <c r="F1051" s="8" t="s">
        <v>4024</v>
      </c>
      <c r="G1051" s="12" t="s">
        <v>4025</v>
      </c>
      <c r="H1051" s="12">
        <v>1</v>
      </c>
      <c r="I1051" s="13" t="str">
        <f>HYPERLINK("http://www.ncbi.nlm.nih.gov/gene/57614", "57614")</f>
        <v>57614</v>
      </c>
      <c r="J1051" s="13" t="str">
        <f>HYPERLINK("http://www.ncbi.nlm.nih.gov/nuccore/NM_020854", "NM_020854")</f>
        <v>NM_020854</v>
      </c>
      <c r="K1051" s="12" t="s">
        <v>4026</v>
      </c>
      <c r="L1051" s="13" t="str">
        <f>HYPERLINK("http://asia.ensembl.org/Homo_sapiens/Gene/Summary?g=ENSG00000134444", "ENSG00000134444")</f>
        <v>ENSG00000134444</v>
      </c>
      <c r="M1051" s="12" t="s">
        <v>15799</v>
      </c>
      <c r="N1051" s="12" t="s">
        <v>15800</v>
      </c>
    </row>
    <row r="1052" spans="1:14">
      <c r="A1052" s="12" t="s">
        <v>3314</v>
      </c>
      <c r="B1052" s="8">
        <v>10256.8354478322</v>
      </c>
      <c r="C1052" s="12">
        <v>4447.0193500466503</v>
      </c>
      <c r="D1052" s="8">
        <v>1.2056750960596301</v>
      </c>
      <c r="E1052" s="12">
        <v>1.8396893399578299E-3</v>
      </c>
      <c r="F1052" s="8" t="s">
        <v>3315</v>
      </c>
      <c r="G1052" s="12" t="s">
        <v>3316</v>
      </c>
      <c r="H1052" s="12">
        <v>1</v>
      </c>
      <c r="I1052" s="13" t="str">
        <f>HYPERLINK("http://www.ncbi.nlm.nih.gov/gene/10787", "10787")</f>
        <v>10787</v>
      </c>
      <c r="J1052" s="12" t="s">
        <v>12945</v>
      </c>
      <c r="K1052" s="12" t="s">
        <v>12946</v>
      </c>
      <c r="L1052" s="13" t="str">
        <f>HYPERLINK("http://asia.ensembl.org/Homo_sapiens/Gene/Summary?g=ENSG00000061676", "ENSG00000061676")</f>
        <v>ENSG00000061676</v>
      </c>
      <c r="M1052" s="12" t="s">
        <v>12947</v>
      </c>
      <c r="N1052" s="12" t="s">
        <v>12948</v>
      </c>
    </row>
    <row r="1053" spans="1:14">
      <c r="A1053" s="12" t="s">
        <v>8827</v>
      </c>
      <c r="B1053" s="8">
        <v>2004.99850178785</v>
      </c>
      <c r="C1053" s="12">
        <v>869.421120702179</v>
      </c>
      <c r="D1053" s="8">
        <v>1.20547411033908</v>
      </c>
      <c r="E1053" s="12">
        <v>1.8815760258150099E-2</v>
      </c>
      <c r="F1053" s="8" t="s">
        <v>8133</v>
      </c>
      <c r="G1053" s="12" t="s">
        <v>14683</v>
      </c>
      <c r="H1053" s="12">
        <v>4</v>
      </c>
      <c r="I1053" s="12" t="s">
        <v>8134</v>
      </c>
      <c r="J1053" s="12" t="s">
        <v>14684</v>
      </c>
      <c r="K1053" s="12" t="s">
        <v>14685</v>
      </c>
      <c r="L1053" s="12" t="s">
        <v>8135</v>
      </c>
      <c r="M1053" s="12" t="s">
        <v>14686</v>
      </c>
      <c r="N1053" s="12" t="s">
        <v>14687</v>
      </c>
    </row>
    <row r="1054" spans="1:14">
      <c r="A1054" s="12" t="s">
        <v>548</v>
      </c>
      <c r="B1054" s="8">
        <v>2069.0469068053799</v>
      </c>
      <c r="C1054" s="12">
        <v>897.29981162229501</v>
      </c>
      <c r="D1054" s="8">
        <v>1.20530433910556</v>
      </c>
      <c r="E1054" s="12">
        <v>2.1948496875817199E-3</v>
      </c>
      <c r="F1054" s="8" t="s">
        <v>549</v>
      </c>
      <c r="G1054" s="12" t="s">
        <v>550</v>
      </c>
      <c r="H1054" s="12">
        <v>1</v>
      </c>
      <c r="I1054" s="13" t="str">
        <f>HYPERLINK("http://www.ncbi.nlm.nih.gov/gene/6643", "6643")</f>
        <v>6643</v>
      </c>
      <c r="J1054" s="13" t="str">
        <f>HYPERLINK("http://www.ncbi.nlm.nih.gov/nuccore/NM_003100", "NM_003100")</f>
        <v>NM_003100</v>
      </c>
      <c r="K1054" s="12" t="s">
        <v>551</v>
      </c>
      <c r="L1054" s="13" t="str">
        <f>HYPERLINK("http://asia.ensembl.org/Homo_sapiens/Gene/Summary?g=ENSG00000205302", "ENSG00000205302")</f>
        <v>ENSG00000205302</v>
      </c>
      <c r="M1054" s="12" t="s">
        <v>12016</v>
      </c>
      <c r="N1054" s="12" t="s">
        <v>12017</v>
      </c>
    </row>
    <row r="1055" spans="1:14">
      <c r="A1055" s="12" t="s">
        <v>10530</v>
      </c>
      <c r="B1055" s="8">
        <v>175.46298256012599</v>
      </c>
      <c r="C1055" s="12">
        <v>76.123460934205198</v>
      </c>
      <c r="D1055" s="8">
        <v>1.20475363715316</v>
      </c>
      <c r="E1055" s="12">
        <v>9.2107015080761193E-3</v>
      </c>
      <c r="F1055" s="8" t="s">
        <v>6719</v>
      </c>
      <c r="G1055" s="12" t="s">
        <v>6720</v>
      </c>
      <c r="H1055" s="12">
        <v>1</v>
      </c>
      <c r="I1055" s="13" t="str">
        <f>HYPERLINK("http://www.ncbi.nlm.nih.gov/gene/7776", "7776")</f>
        <v>7776</v>
      </c>
      <c r="J1055" s="13" t="str">
        <f>HYPERLINK("http://www.ncbi.nlm.nih.gov/nuccore/NM_007345", "NM_007345")</f>
        <v>NM_007345</v>
      </c>
      <c r="K1055" s="12" t="s">
        <v>6721</v>
      </c>
      <c r="L1055" s="13" t="str">
        <f>HYPERLINK("http://asia.ensembl.org/Homo_sapiens/Gene/Summary?g=ENSG00000130856", "ENSG00000130856")</f>
        <v>ENSG00000130856</v>
      </c>
      <c r="M1055" s="12" t="s">
        <v>15531</v>
      </c>
      <c r="N1055" s="12" t="s">
        <v>15532</v>
      </c>
    </row>
    <row r="1056" spans="1:14">
      <c r="A1056" s="12" t="s">
        <v>7914</v>
      </c>
      <c r="B1056" s="8">
        <v>304.240466691873</v>
      </c>
      <c r="C1056" s="12">
        <v>131.99316311189099</v>
      </c>
      <c r="D1056" s="8">
        <v>1.20474885328936</v>
      </c>
      <c r="E1056" s="12">
        <v>1.4149739968088201E-4</v>
      </c>
      <c r="F1056" s="8" t="s">
        <v>2292</v>
      </c>
      <c r="G1056" s="12" t="s">
        <v>2293</v>
      </c>
      <c r="H1056" s="12">
        <v>1</v>
      </c>
      <c r="I1056" s="13" t="str">
        <f>HYPERLINK("http://www.ncbi.nlm.nih.gov/gene/2585", "2585")</f>
        <v>2585</v>
      </c>
      <c r="J1056" s="12" t="s">
        <v>14606</v>
      </c>
      <c r="K1056" s="12" t="s">
        <v>14607</v>
      </c>
      <c r="L1056" s="13" t="str">
        <f>HYPERLINK("http://asia.ensembl.org/Homo_sapiens/Gene/Summary?g=ENSG00000156958", "ENSG00000156958")</f>
        <v>ENSG00000156958</v>
      </c>
      <c r="M1056" s="12" t="s">
        <v>14608</v>
      </c>
      <c r="N1056" s="12" t="s">
        <v>14609</v>
      </c>
    </row>
    <row r="1057" spans="1:14">
      <c r="A1057" s="12" t="s">
        <v>7604</v>
      </c>
      <c r="B1057" s="8">
        <v>2435.3123329212999</v>
      </c>
      <c r="C1057" s="12">
        <v>1057.7466996046701</v>
      </c>
      <c r="D1057" s="8">
        <v>1.2031126280652</v>
      </c>
      <c r="E1057" s="12">
        <v>4.4310819174924598E-4</v>
      </c>
      <c r="F1057" s="8" t="s">
        <v>7605</v>
      </c>
      <c r="G1057" s="12" t="s">
        <v>7606</v>
      </c>
      <c r="H1057" s="12">
        <v>1</v>
      </c>
      <c r="I1057" s="13" t="str">
        <f>HYPERLINK("http://www.ncbi.nlm.nih.gov/gene/262", "262")</f>
        <v>262</v>
      </c>
      <c r="J1057" s="13" t="str">
        <f>HYPERLINK("http://www.ncbi.nlm.nih.gov/nuccore/NM_001634", "NM_001634")</f>
        <v>NM_001634</v>
      </c>
      <c r="K1057" s="12" t="s">
        <v>7607</v>
      </c>
      <c r="L1057" s="13" t="str">
        <f>HYPERLINK("http://asia.ensembl.org/Homo_sapiens/Gene/Summary?g=ENSG00000123505", "ENSG00000123505")</f>
        <v>ENSG00000123505</v>
      </c>
      <c r="M1057" s="12" t="s">
        <v>14478</v>
      </c>
      <c r="N1057" s="12" t="s">
        <v>14479</v>
      </c>
    </row>
    <row r="1058" spans="1:14">
      <c r="A1058" s="12" t="s">
        <v>10684</v>
      </c>
      <c r="B1058" s="8">
        <v>2423.3824058155801</v>
      </c>
      <c r="C1058" s="12">
        <v>1052.73671253412</v>
      </c>
      <c r="D1058" s="8">
        <v>1.2028774115243801</v>
      </c>
      <c r="E1058" s="12">
        <v>6.3724850359689602E-3</v>
      </c>
      <c r="F1058" s="8" t="s">
        <v>6661</v>
      </c>
      <c r="G1058" s="12" t="s">
        <v>6662</v>
      </c>
      <c r="H1058" s="12">
        <v>1</v>
      </c>
      <c r="I1058" s="13" t="str">
        <f>HYPERLINK("http://www.ncbi.nlm.nih.gov/gene/56133", "56133")</f>
        <v>56133</v>
      </c>
      <c r="J1058" s="13" t="str">
        <f>HYPERLINK("http://www.ncbi.nlm.nih.gov/nuccore/NM_018936", "NM_018936")</f>
        <v>NM_018936</v>
      </c>
      <c r="K1058" s="12" t="s">
        <v>6663</v>
      </c>
      <c r="L1058" s="13" t="str">
        <f>HYPERLINK("http://asia.ensembl.org/Homo_sapiens/Gene/Summary?g=ENSG00000112852", "ENSG00000112852")</f>
        <v>ENSG00000112852</v>
      </c>
      <c r="M1058" s="12" t="s">
        <v>15709</v>
      </c>
      <c r="N1058" s="12" t="s">
        <v>15710</v>
      </c>
    </row>
    <row r="1059" spans="1:14">
      <c r="A1059" s="12" t="s">
        <v>11361</v>
      </c>
      <c r="B1059" s="8">
        <v>270.85631223688301</v>
      </c>
      <c r="C1059" s="12">
        <v>117.721147540373</v>
      </c>
      <c r="D1059" s="8">
        <v>1.2021542020537299</v>
      </c>
      <c r="E1059" s="12">
        <v>2.7382448662992801E-3</v>
      </c>
      <c r="F1059" s="8" t="s">
        <v>11362</v>
      </c>
      <c r="G1059" s="12" t="s">
        <v>11363</v>
      </c>
      <c r="H1059" s="12">
        <v>4</v>
      </c>
      <c r="I1059" s="12" t="s">
        <v>11364</v>
      </c>
      <c r="J1059" s="12" t="s">
        <v>16116</v>
      </c>
      <c r="K1059" s="12" t="s">
        <v>16117</v>
      </c>
      <c r="L1059" s="12" t="s">
        <v>11365</v>
      </c>
      <c r="M1059" s="12" t="s">
        <v>16118</v>
      </c>
      <c r="N1059" s="12" t="s">
        <v>16119</v>
      </c>
    </row>
    <row r="1060" spans="1:14">
      <c r="A1060" s="12" t="s">
        <v>3301</v>
      </c>
      <c r="B1060" s="8">
        <v>115.036444538691</v>
      </c>
      <c r="C1060" s="12">
        <v>50</v>
      </c>
      <c r="D1060" s="8">
        <v>1.20209099182808</v>
      </c>
      <c r="E1060" s="12">
        <v>1.06787666052279E-2</v>
      </c>
      <c r="F1060" s="8" t="s">
        <v>3302</v>
      </c>
      <c r="G1060" s="12" t="s">
        <v>3303</v>
      </c>
      <c r="H1060" s="12">
        <v>1</v>
      </c>
      <c r="I1060" s="13" t="str">
        <f>HYPERLINK("http://www.ncbi.nlm.nih.gov/gene/5364", "5364")</f>
        <v>5364</v>
      </c>
      <c r="J1060" s="12" t="s">
        <v>12939</v>
      </c>
      <c r="K1060" s="12" t="s">
        <v>12940</v>
      </c>
      <c r="L1060" s="13" t="str">
        <f>HYPERLINK("http://asia.ensembl.org/Homo_sapiens/Gene/Summary?g=ENSG00000164050", "ENSG00000164050")</f>
        <v>ENSG00000164050</v>
      </c>
      <c r="M1060" s="12" t="s">
        <v>12941</v>
      </c>
      <c r="N1060" s="12" t="s">
        <v>12942</v>
      </c>
    </row>
    <row r="1061" spans="1:14">
      <c r="A1061" s="12" t="s">
        <v>9342</v>
      </c>
      <c r="B1061" s="8">
        <v>2994.9905777397698</v>
      </c>
      <c r="C1061" s="12">
        <v>1301.92716382867</v>
      </c>
      <c r="D1061" s="8">
        <v>1.20190272494652</v>
      </c>
      <c r="E1061" s="12">
        <v>1.8557495741778399E-3</v>
      </c>
      <c r="F1061" s="8" t="s">
        <v>9343</v>
      </c>
      <c r="G1061" s="12" t="s">
        <v>9344</v>
      </c>
      <c r="H1061" s="12">
        <v>1</v>
      </c>
      <c r="I1061" s="13" t="str">
        <f>HYPERLINK("http://www.ncbi.nlm.nih.gov/gene/29035", "29035")</f>
        <v>29035</v>
      </c>
      <c r="J1061" s="13" t="str">
        <f>HYPERLINK("http://www.ncbi.nlm.nih.gov/nuccore/NM_014117", "NM_014117")</f>
        <v>NM_014117</v>
      </c>
      <c r="K1061" s="12" t="s">
        <v>9345</v>
      </c>
      <c r="L1061" s="13" t="str">
        <f>HYPERLINK("http://asia.ensembl.org/Homo_sapiens/Gene/Summary?g=ENSG00000182831", "ENSG00000182831")</f>
        <v>ENSG00000182831</v>
      </c>
      <c r="M1061" s="12" t="s">
        <v>15025</v>
      </c>
      <c r="N1061" s="12" t="s">
        <v>15026</v>
      </c>
    </row>
    <row r="1062" spans="1:14">
      <c r="A1062" s="12" t="s">
        <v>10650</v>
      </c>
      <c r="B1062" s="8">
        <v>203.914118576015</v>
      </c>
      <c r="C1062" s="12">
        <v>88.643507397029296</v>
      </c>
      <c r="D1062" s="8">
        <v>1.20187479653707</v>
      </c>
      <c r="E1062" s="12">
        <v>4.2571595897092699E-4</v>
      </c>
      <c r="F1062" s="8" t="s">
        <v>8856</v>
      </c>
      <c r="G1062" s="12" t="s">
        <v>8857</v>
      </c>
      <c r="H1062" s="12">
        <v>1</v>
      </c>
      <c r="I1062" s="13" t="str">
        <f>HYPERLINK("http://www.ncbi.nlm.nih.gov/gene/6434", "6434")</f>
        <v>6434</v>
      </c>
      <c r="J1062" s="12" t="s">
        <v>15672</v>
      </c>
      <c r="K1062" s="12" t="s">
        <v>15673</v>
      </c>
      <c r="L1062" s="13" t="str">
        <f>HYPERLINK("http://asia.ensembl.org/Homo_sapiens/Gene/Summary?g=ENSG00000136527", "ENSG00000136527")</f>
        <v>ENSG00000136527</v>
      </c>
      <c r="M1062" s="12" t="s">
        <v>15674</v>
      </c>
      <c r="N1062" s="12" t="s">
        <v>15675</v>
      </c>
    </row>
    <row r="1063" spans="1:14">
      <c r="A1063" s="12" t="s">
        <v>6051</v>
      </c>
      <c r="B1063" s="8">
        <v>2664.0657232949702</v>
      </c>
      <c r="C1063" s="12">
        <v>1158.2531774537399</v>
      </c>
      <c r="D1063" s="8">
        <v>1.2016790344205299</v>
      </c>
      <c r="E1063" s="12">
        <v>1.4862604530681701E-3</v>
      </c>
      <c r="F1063" s="8" t="s">
        <v>6052</v>
      </c>
      <c r="G1063" s="12" t="s">
        <v>6053</v>
      </c>
      <c r="H1063" s="12">
        <v>1</v>
      </c>
      <c r="I1063" s="13" t="str">
        <f>HYPERLINK("http://www.ncbi.nlm.nih.gov/gene/55300", "55300")</f>
        <v>55300</v>
      </c>
      <c r="J1063" s="13" t="str">
        <f>HYPERLINK("http://www.ncbi.nlm.nih.gov/nuccore/NM_018323", "NM_018323")</f>
        <v>NM_018323</v>
      </c>
      <c r="K1063" s="12" t="s">
        <v>6054</v>
      </c>
      <c r="L1063" s="13" t="str">
        <f>HYPERLINK("http://asia.ensembl.org/Homo_sapiens/Gene/Summary?g=ENSG00000038210", "ENSG00000038210")</f>
        <v>ENSG00000038210</v>
      </c>
      <c r="M1063" s="12" t="s">
        <v>6055</v>
      </c>
      <c r="N1063" s="12" t="s">
        <v>6056</v>
      </c>
    </row>
    <row r="1064" spans="1:14">
      <c r="A1064" s="12" t="s">
        <v>8791</v>
      </c>
      <c r="B1064" s="8">
        <v>1592.3038613063</v>
      </c>
      <c r="C1064" s="12">
        <v>692.51668964317503</v>
      </c>
      <c r="D1064" s="8">
        <v>1.20119492779972</v>
      </c>
      <c r="E1064" s="12">
        <v>3.5109247962920101E-3</v>
      </c>
      <c r="F1064" s="8" t="s">
        <v>5637</v>
      </c>
      <c r="G1064" s="12" t="s">
        <v>14878</v>
      </c>
      <c r="H1064" s="12">
        <v>1</v>
      </c>
      <c r="I1064" s="13" t="str">
        <f>HYPERLINK("http://www.ncbi.nlm.nih.gov/gene/51360", "51360")</f>
        <v>51360</v>
      </c>
      <c r="J1064" s="13" t="str">
        <f>HYPERLINK("http://www.ncbi.nlm.nih.gov/nuccore/NM_015884", "NM_015884")</f>
        <v>NM_015884</v>
      </c>
      <c r="K1064" s="12" t="s">
        <v>5638</v>
      </c>
      <c r="L1064" s="13" t="str">
        <f>HYPERLINK("http://asia.ensembl.org/Homo_sapiens/Gene/Summary?g=ENSG00000012174", "ENSG00000012174")</f>
        <v>ENSG00000012174</v>
      </c>
      <c r="M1064" s="12" t="s">
        <v>14879</v>
      </c>
      <c r="N1064" s="12" t="s">
        <v>14880</v>
      </c>
    </row>
    <row r="1065" spans="1:14">
      <c r="A1065" s="12" t="s">
        <v>2966</v>
      </c>
      <c r="B1065" s="8">
        <v>581.71013179859904</v>
      </c>
      <c r="C1065" s="12">
        <v>253.01350292178799</v>
      </c>
      <c r="D1065" s="8">
        <v>1.20108605090709</v>
      </c>
      <c r="E1065" s="12">
        <v>8.0736169196602807E-3</v>
      </c>
      <c r="F1065" s="8" t="s">
        <v>2967</v>
      </c>
      <c r="G1065" s="12" t="s">
        <v>2968</v>
      </c>
      <c r="H1065" s="12">
        <v>1</v>
      </c>
      <c r="I1065" s="13" t="str">
        <f>HYPERLINK("http://www.ncbi.nlm.nih.gov/gene/222223", "222223")</f>
        <v>222223</v>
      </c>
      <c r="J1065" s="12" t="s">
        <v>12846</v>
      </c>
      <c r="K1065" s="12" t="s">
        <v>12847</v>
      </c>
      <c r="L1065" s="13" t="str">
        <f>HYPERLINK("http://asia.ensembl.org/Homo_sapiens/Gene/Summary?g=ENSG00000164659", "ENSG00000164659")</f>
        <v>ENSG00000164659</v>
      </c>
      <c r="M1065" s="12" t="s">
        <v>12848</v>
      </c>
      <c r="N1065" s="12" t="s">
        <v>12849</v>
      </c>
    </row>
    <row r="1066" spans="1:14">
      <c r="A1066" s="12" t="s">
        <v>7756</v>
      </c>
      <c r="B1066" s="8">
        <v>508.59978554843201</v>
      </c>
      <c r="C1066" s="12">
        <v>221.243511902368</v>
      </c>
      <c r="D1066" s="8">
        <v>1.200895705789</v>
      </c>
      <c r="E1066" s="12">
        <v>7.78232620496082E-3</v>
      </c>
      <c r="F1066" s="8" t="s">
        <v>7757</v>
      </c>
      <c r="G1066" s="12" t="s">
        <v>7758</v>
      </c>
      <c r="H1066" s="12">
        <v>1</v>
      </c>
      <c r="I1066" s="13" t="str">
        <f>HYPERLINK("http://www.ncbi.nlm.nih.gov/gene/84188", "84188")</f>
        <v>84188</v>
      </c>
      <c r="J1066" s="13" t="str">
        <f>HYPERLINK("http://www.ncbi.nlm.nih.gov/nuccore/NM_032228", "NM_032228")</f>
        <v>NM_032228</v>
      </c>
      <c r="K1066" s="12" t="s">
        <v>7759</v>
      </c>
      <c r="L1066" s="13" t="str">
        <f>HYPERLINK("http://asia.ensembl.org/Homo_sapiens/Gene/Summary?g=ENSG00000197601", "ENSG00000197601")</f>
        <v>ENSG00000197601</v>
      </c>
      <c r="M1066" s="12" t="s">
        <v>14535</v>
      </c>
      <c r="N1066" s="12" t="s">
        <v>14536</v>
      </c>
    </row>
    <row r="1067" spans="1:14">
      <c r="A1067" s="12" t="s">
        <v>6187</v>
      </c>
      <c r="B1067" s="8">
        <v>697.85208845469901</v>
      </c>
      <c r="C1067" s="12">
        <v>303.57958010170802</v>
      </c>
      <c r="D1067" s="8">
        <v>1.2008465329598601</v>
      </c>
      <c r="E1067" s="12">
        <v>1.92951175293132E-4</v>
      </c>
      <c r="F1067" s="8" t="s">
        <v>6188</v>
      </c>
      <c r="G1067" s="12" t="s">
        <v>6189</v>
      </c>
      <c r="H1067" s="12">
        <v>1</v>
      </c>
      <c r="I1067" s="13" t="str">
        <f>HYPERLINK("http://www.ncbi.nlm.nih.gov/gene/23035", "23035")</f>
        <v>23035</v>
      </c>
      <c r="J1067" s="13" t="str">
        <f>HYPERLINK("http://www.ncbi.nlm.nih.gov/nuccore/NM_015020", "NM_015020")</f>
        <v>NM_015020</v>
      </c>
      <c r="K1067" s="12" t="s">
        <v>6190</v>
      </c>
      <c r="L1067" s="13" t="str">
        <f>HYPERLINK("http://asia.ensembl.org/Homo_sapiens/Gene/Summary?g=ENSG00000040199", "ENSG00000040199")</f>
        <v>ENSG00000040199</v>
      </c>
      <c r="M1067" s="12" t="s">
        <v>14083</v>
      </c>
      <c r="N1067" s="12" t="s">
        <v>14084</v>
      </c>
    </row>
    <row r="1068" spans="1:14">
      <c r="A1068" s="12" t="s">
        <v>2495</v>
      </c>
      <c r="B1068" s="8">
        <v>575.42943093594204</v>
      </c>
      <c r="C1068" s="12">
        <v>250.36289272855001</v>
      </c>
      <c r="D1068" s="8">
        <v>1.20061826050576</v>
      </c>
      <c r="E1068" s="12">
        <v>3.4182514280140701E-3</v>
      </c>
      <c r="F1068" s="8" t="s">
        <v>2496</v>
      </c>
      <c r="G1068" s="12" t="s">
        <v>2497</v>
      </c>
      <c r="H1068" s="12">
        <v>1</v>
      </c>
      <c r="I1068" s="13" t="str">
        <f>HYPERLINK("http://www.ncbi.nlm.nih.gov/gene/23059", "23059")</f>
        <v>23059</v>
      </c>
      <c r="J1068" s="12" t="s">
        <v>12675</v>
      </c>
      <c r="K1068" s="12" t="s">
        <v>12676</v>
      </c>
      <c r="L1068" s="13" t="str">
        <f>HYPERLINK("http://asia.ensembl.org/Homo_sapiens/Gene/Summary?g=ENSG00000103351", "ENSG00000103351")</f>
        <v>ENSG00000103351</v>
      </c>
      <c r="M1068" s="12" t="s">
        <v>12677</v>
      </c>
      <c r="N1068" s="12" t="s">
        <v>12678</v>
      </c>
    </row>
    <row r="1069" spans="1:14">
      <c r="A1069" s="12" t="s">
        <v>6886</v>
      </c>
      <c r="B1069" s="8">
        <v>136.70819774311201</v>
      </c>
      <c r="C1069" s="12">
        <v>59.490223429433698</v>
      </c>
      <c r="D1069" s="8">
        <v>1.2003752553372899</v>
      </c>
      <c r="E1069" s="12">
        <v>2.7636605009184801E-3</v>
      </c>
      <c r="F1069" s="8" t="s">
        <v>6887</v>
      </c>
      <c r="G1069" s="12" t="s">
        <v>6888</v>
      </c>
      <c r="H1069" s="12">
        <v>1</v>
      </c>
      <c r="I1069" s="13" t="str">
        <f>HYPERLINK("http://www.ncbi.nlm.nih.gov/gene/7771", "7771")</f>
        <v>7771</v>
      </c>
      <c r="J1069" s="12" t="s">
        <v>14300</v>
      </c>
      <c r="K1069" s="12" t="s">
        <v>14301</v>
      </c>
      <c r="L1069" s="13" t="str">
        <f>HYPERLINK("http://asia.ensembl.org/Homo_sapiens/Gene/Summary?g=ENSG00000062370", "ENSG00000062370")</f>
        <v>ENSG00000062370</v>
      </c>
      <c r="M1069" s="12" t="s">
        <v>14302</v>
      </c>
      <c r="N1069" s="12" t="s">
        <v>14303</v>
      </c>
    </row>
    <row r="1070" spans="1:14">
      <c r="A1070" s="12" t="s">
        <v>10647</v>
      </c>
      <c r="B1070" s="8">
        <v>2186.0962940004702</v>
      </c>
      <c r="C1070" s="12">
        <v>951.505502200048</v>
      </c>
      <c r="D1070" s="8">
        <v>1.2000730465876801</v>
      </c>
      <c r="E1070" s="12">
        <v>4.3685310501648004E-3</v>
      </c>
      <c r="F1070" s="8" t="s">
        <v>440</v>
      </c>
      <c r="G1070" s="12" t="s">
        <v>441</v>
      </c>
      <c r="H1070" s="12">
        <v>1</v>
      </c>
      <c r="I1070" s="13" t="str">
        <f>HYPERLINK("http://www.ncbi.nlm.nih.gov/gene/56889", "56889")</f>
        <v>56889</v>
      </c>
      <c r="J1070" s="13" t="str">
        <f>HYPERLINK("http://www.ncbi.nlm.nih.gov/nuccore/NM_020123", "NM_020123")</f>
        <v>NM_020123</v>
      </c>
      <c r="K1070" s="12" t="s">
        <v>442</v>
      </c>
      <c r="L1070" s="13" t="str">
        <f>HYPERLINK("http://asia.ensembl.org/Homo_sapiens/Gene/Summary?g=ENSG00000077147", "ENSG00000077147")</f>
        <v>ENSG00000077147</v>
      </c>
      <c r="M1070" s="12" t="s">
        <v>11981</v>
      </c>
      <c r="N1070" s="12" t="s">
        <v>11982</v>
      </c>
    </row>
    <row r="1071" spans="1:14">
      <c r="A1071" s="12" t="s">
        <v>11007</v>
      </c>
      <c r="B1071" s="8">
        <v>207.33580169871701</v>
      </c>
      <c r="C1071" s="12">
        <v>90.256782357566905</v>
      </c>
      <c r="D1071" s="8">
        <v>1.1998620025575899</v>
      </c>
      <c r="E1071" s="12">
        <v>2.1733043742205301E-2</v>
      </c>
      <c r="F1071" s="8" t="s">
        <v>3652</v>
      </c>
      <c r="G1071" s="12" t="s">
        <v>3653</v>
      </c>
      <c r="H1071" s="12">
        <v>1</v>
      </c>
      <c r="I1071" s="13" t="str">
        <f>HYPERLINK("http://www.ncbi.nlm.nih.gov/gene/728858", "728858")</f>
        <v>728858</v>
      </c>
      <c r="J1071" s="13" t="str">
        <f>HYPERLINK("http://www.ncbi.nlm.nih.gov/nuccore/NM_001080406", "NM_001080406")</f>
        <v>NM_001080406</v>
      </c>
      <c r="K1071" s="12" t="s">
        <v>3654</v>
      </c>
      <c r="L1071" s="13" t="str">
        <f>HYPERLINK("http://asia.ensembl.org/Homo_sapiens/Gene/Summary?g=ENSG00000214700", "ENSG00000214700")</f>
        <v>ENSG00000214700</v>
      </c>
      <c r="M1071" s="12" t="s">
        <v>3655</v>
      </c>
      <c r="N1071" s="12" t="s">
        <v>3656</v>
      </c>
    </row>
    <row r="1072" spans="1:14">
      <c r="A1072" s="12" t="s">
        <v>1285</v>
      </c>
      <c r="B1072" s="8">
        <v>410.36512545667398</v>
      </c>
      <c r="C1072" s="12">
        <v>178.709108163884</v>
      </c>
      <c r="D1072" s="8">
        <v>1.19929496464271</v>
      </c>
      <c r="E1072" s="12">
        <v>1.25127625556668E-3</v>
      </c>
      <c r="F1072" s="8" t="s">
        <v>1286</v>
      </c>
      <c r="G1072" s="12" t="s">
        <v>1287</v>
      </c>
      <c r="H1072" s="12">
        <v>1</v>
      </c>
      <c r="I1072" s="13" t="str">
        <f>HYPERLINK("http://www.ncbi.nlm.nih.gov/gene/29915", "29915")</f>
        <v>29915</v>
      </c>
      <c r="J1072" s="13" t="str">
        <f>HYPERLINK("http://www.ncbi.nlm.nih.gov/nuccore/NM_013320", "NM_013320")</f>
        <v>NM_013320</v>
      </c>
      <c r="K1072" s="12" t="s">
        <v>1288</v>
      </c>
      <c r="L1072" s="13" t="str">
        <f>HYPERLINK("http://asia.ensembl.org/Homo_sapiens/Gene/Summary?g=ENSG00000111727", "ENSG00000111727")</f>
        <v>ENSG00000111727</v>
      </c>
      <c r="M1072" s="12" t="s">
        <v>12294</v>
      </c>
      <c r="N1072" s="12" t="s">
        <v>12295</v>
      </c>
    </row>
    <row r="1073" spans="1:14">
      <c r="A1073" s="12" t="s">
        <v>1079</v>
      </c>
      <c r="B1073" s="8">
        <v>269.61828034484</v>
      </c>
      <c r="C1073" s="12">
        <v>117.419323744332</v>
      </c>
      <c r="D1073" s="8">
        <v>1.1992484628884901</v>
      </c>
      <c r="E1073" s="12">
        <v>2.8251322451795101E-3</v>
      </c>
      <c r="F1073" s="8" t="s">
        <v>1080</v>
      </c>
      <c r="G1073" s="12" t="s">
        <v>1081</v>
      </c>
      <c r="H1073" s="12">
        <v>1</v>
      </c>
      <c r="I1073" s="13" t="str">
        <f>HYPERLINK("http://www.ncbi.nlm.nih.gov/gene/387758", "387758")</f>
        <v>387758</v>
      </c>
      <c r="J1073" s="13" t="str">
        <f>HYPERLINK("http://www.ncbi.nlm.nih.gov/nuccore/NM_203371", "NM_203371")</f>
        <v>NM_203371</v>
      </c>
      <c r="K1073" s="12" t="s">
        <v>1082</v>
      </c>
      <c r="L1073" s="13" t="str">
        <f>HYPERLINK("http://asia.ensembl.org/Homo_sapiens/Gene/Summary?g=ENSG00000176971", "ENSG00000176971")</f>
        <v>ENSG00000176971</v>
      </c>
      <c r="M1073" s="12" t="s">
        <v>1083</v>
      </c>
      <c r="N1073" s="12" t="s">
        <v>1084</v>
      </c>
    </row>
    <row r="1074" spans="1:14">
      <c r="A1074" s="12" t="s">
        <v>9472</v>
      </c>
      <c r="B1074" s="8">
        <v>317.14623538839902</v>
      </c>
      <c r="C1074" s="12">
        <v>138.11952076684599</v>
      </c>
      <c r="D1074" s="8">
        <v>1.19923098349687</v>
      </c>
      <c r="E1074" s="12">
        <v>1.9912934981101901E-3</v>
      </c>
      <c r="F1074" s="8" t="s">
        <v>9473</v>
      </c>
      <c r="G1074" s="12" t="s">
        <v>15041</v>
      </c>
      <c r="H1074" s="12">
        <v>1</v>
      </c>
      <c r="I1074" s="13" t="str">
        <f>HYPERLINK("http://www.ncbi.nlm.nih.gov/gene/54165", "54165")</f>
        <v>54165</v>
      </c>
      <c r="J1074" s="13" t="str">
        <f>HYPERLINK("http://www.ncbi.nlm.nih.gov/nuccore/NM_020640", "NM_020640")</f>
        <v>NM_020640</v>
      </c>
      <c r="K1074" s="12" t="s">
        <v>9474</v>
      </c>
      <c r="L1074" s="13" t="str">
        <f>HYPERLINK("http://asia.ensembl.org/Homo_sapiens/Gene/Summary?g=ENSG00000043093", "ENSG00000043093")</f>
        <v>ENSG00000043093</v>
      </c>
      <c r="M1074" s="12" t="s">
        <v>15042</v>
      </c>
      <c r="N1074" s="12" t="s">
        <v>15043</v>
      </c>
    </row>
    <row r="1075" spans="1:14">
      <c r="A1075" s="12" t="s">
        <v>11216</v>
      </c>
      <c r="B1075" s="8">
        <v>1843.03197166923</v>
      </c>
      <c r="C1075" s="12">
        <v>802.74383235815696</v>
      </c>
      <c r="D1075" s="8">
        <v>1.1990695174903001</v>
      </c>
      <c r="E1075" s="12">
        <v>9.4579520358573903E-3</v>
      </c>
      <c r="F1075" s="8" t="s">
        <v>38</v>
      </c>
      <c r="G1075" s="12" t="s">
        <v>38</v>
      </c>
      <c r="H1075" s="12">
        <v>1</v>
      </c>
      <c r="I1075" s="12" t="s">
        <v>38</v>
      </c>
      <c r="J1075" s="12" t="s">
        <v>38</v>
      </c>
      <c r="K1075" s="12" t="s">
        <v>38</v>
      </c>
      <c r="L1075" s="13" t="str">
        <f>HYPERLINK("http://asia.ensembl.org/Homo_sapiens/Gene/Summary?g=ENSG00000198162", "ENSG00000198162")</f>
        <v>ENSG00000198162</v>
      </c>
      <c r="M1075" s="12" t="s">
        <v>11217</v>
      </c>
      <c r="N1075" s="12" t="s">
        <v>16039</v>
      </c>
    </row>
    <row r="1076" spans="1:14">
      <c r="A1076" s="12" t="s">
        <v>11699</v>
      </c>
      <c r="B1076" s="8">
        <v>528.50093102684696</v>
      </c>
      <c r="C1076" s="12">
        <v>230.199201278077</v>
      </c>
      <c r="D1076" s="8">
        <v>1.1990231853539199</v>
      </c>
      <c r="E1076" s="12">
        <v>2.8833987771626799E-2</v>
      </c>
      <c r="F1076" s="8" t="s">
        <v>38</v>
      </c>
      <c r="G1076" s="12" t="s">
        <v>38</v>
      </c>
      <c r="H1076" s="12">
        <v>1</v>
      </c>
      <c r="I1076" s="12" t="s">
        <v>38</v>
      </c>
      <c r="J1076" s="12" t="s">
        <v>38</v>
      </c>
      <c r="K1076" s="12" t="s">
        <v>38</v>
      </c>
      <c r="L1076" s="12" t="s">
        <v>11700</v>
      </c>
      <c r="M1076" s="12" t="s">
        <v>11701</v>
      </c>
      <c r="N1076" s="12" t="s">
        <v>16185</v>
      </c>
    </row>
    <row r="1077" spans="1:14">
      <c r="A1077" s="12" t="s">
        <v>11295</v>
      </c>
      <c r="B1077" s="8">
        <v>4387.6242169468196</v>
      </c>
      <c r="C1077" s="12">
        <v>1911.15661745322</v>
      </c>
      <c r="D1077" s="8">
        <v>1.19899395914284</v>
      </c>
      <c r="E1077" s="12">
        <v>4.5332346586139504E-3</v>
      </c>
      <c r="F1077" s="8" t="s">
        <v>6036</v>
      </c>
      <c r="G1077" s="12" t="s">
        <v>6037</v>
      </c>
      <c r="H1077" s="12">
        <v>1</v>
      </c>
      <c r="I1077" s="13" t="str">
        <f>HYPERLINK("http://www.ncbi.nlm.nih.gov/gene/5099", "5099")</f>
        <v>5099</v>
      </c>
      <c r="J1077" s="13" t="str">
        <f>HYPERLINK("http://www.ncbi.nlm.nih.gov/nuccore/NM_002589", "NM_002589")</f>
        <v>NM_002589</v>
      </c>
      <c r="K1077" s="12" t="s">
        <v>11296</v>
      </c>
      <c r="L1077" s="13" t="str">
        <f>HYPERLINK("http://asia.ensembl.org/Homo_sapiens/Gene/Summary?g=ENSG00000169851", "ENSG00000169851")</f>
        <v>ENSG00000169851</v>
      </c>
      <c r="M1077" s="12" t="s">
        <v>14018</v>
      </c>
      <c r="N1077" s="12" t="s">
        <v>14019</v>
      </c>
    </row>
    <row r="1078" spans="1:14">
      <c r="A1078" s="12" t="s">
        <v>4902</v>
      </c>
      <c r="B1078" s="8">
        <v>556.83066993467401</v>
      </c>
      <c r="C1078" s="12">
        <v>242.564045390584</v>
      </c>
      <c r="D1078" s="8">
        <v>1.1988729567046199</v>
      </c>
      <c r="E1078" s="12">
        <v>6.2273526985733496E-3</v>
      </c>
      <c r="F1078" s="8" t="s">
        <v>4903</v>
      </c>
      <c r="G1078" s="12" t="s">
        <v>13462</v>
      </c>
      <c r="H1078" s="12">
        <v>1</v>
      </c>
      <c r="I1078" s="13" t="str">
        <f>HYPERLINK("http://www.ncbi.nlm.nih.gov/gene/6616", "6616")</f>
        <v>6616</v>
      </c>
      <c r="J1078" s="12" t="s">
        <v>13463</v>
      </c>
      <c r="K1078" s="12" t="s">
        <v>13464</v>
      </c>
      <c r="L1078" s="13" t="str">
        <f>HYPERLINK("http://asia.ensembl.org/Homo_sapiens/Gene/Summary?g=ENSG00000132639", "ENSG00000132639")</f>
        <v>ENSG00000132639</v>
      </c>
      <c r="M1078" s="12" t="s">
        <v>13465</v>
      </c>
      <c r="N1078" s="12" t="s">
        <v>13466</v>
      </c>
    </row>
    <row r="1079" spans="1:14">
      <c r="A1079" s="12" t="s">
        <v>7828</v>
      </c>
      <c r="B1079" s="8">
        <v>1790.43193568006</v>
      </c>
      <c r="C1079" s="12">
        <v>780.24865673331703</v>
      </c>
      <c r="D1079" s="8">
        <v>1.1983018012700499</v>
      </c>
      <c r="E1079" s="12">
        <v>4.3041589837844001E-3</v>
      </c>
      <c r="F1079" s="8" t="s">
        <v>7829</v>
      </c>
      <c r="G1079" s="12" t="s">
        <v>7830</v>
      </c>
      <c r="H1079" s="12">
        <v>1</v>
      </c>
      <c r="I1079" s="13" t="str">
        <f>HYPERLINK("http://www.ncbi.nlm.nih.gov/gene/4256", "4256")</f>
        <v>4256</v>
      </c>
      <c r="J1079" s="12" t="s">
        <v>14570</v>
      </c>
      <c r="K1079" s="12" t="s">
        <v>14571</v>
      </c>
      <c r="L1079" s="13" t="str">
        <f>HYPERLINK("http://asia.ensembl.org/Homo_sapiens/Gene/Summary?g=ENSG00000111341", "ENSG00000111341")</f>
        <v>ENSG00000111341</v>
      </c>
      <c r="M1079" s="12" t="s">
        <v>14572</v>
      </c>
      <c r="N1079" s="12" t="s">
        <v>14573</v>
      </c>
    </row>
    <row r="1080" spans="1:14">
      <c r="A1080" s="12" t="s">
        <v>11210</v>
      </c>
      <c r="B1080" s="8">
        <v>2606.83523457107</v>
      </c>
      <c r="C1080" s="12">
        <v>1136.10110980339</v>
      </c>
      <c r="D1080" s="8">
        <v>1.1982081636319299</v>
      </c>
      <c r="E1080" s="12">
        <v>9.1282966513143802E-3</v>
      </c>
      <c r="F1080" s="8" t="s">
        <v>3351</v>
      </c>
      <c r="G1080" s="12" t="s">
        <v>3352</v>
      </c>
      <c r="H1080" s="12">
        <v>1</v>
      </c>
      <c r="I1080" s="13" t="str">
        <f>HYPERLINK("http://www.ncbi.nlm.nih.gov/gene/7095", "7095")</f>
        <v>7095</v>
      </c>
      <c r="J1080" s="13" t="str">
        <f>HYPERLINK("http://www.ncbi.nlm.nih.gov/nuccore/NM_003262", "NM_003262")</f>
        <v>NM_003262</v>
      </c>
      <c r="K1080" s="12" t="s">
        <v>3353</v>
      </c>
      <c r="L1080" s="13" t="str">
        <f>HYPERLINK("http://asia.ensembl.org/Homo_sapiens/Gene/Summary?g=ENSG00000008952", "ENSG00000008952")</f>
        <v>ENSG00000008952</v>
      </c>
      <c r="M1080" s="12" t="s">
        <v>13363</v>
      </c>
      <c r="N1080" s="12" t="s">
        <v>13364</v>
      </c>
    </row>
    <row r="1081" spans="1:14">
      <c r="A1081" s="12" t="s">
        <v>7419</v>
      </c>
      <c r="B1081" s="8">
        <v>841.79313079050405</v>
      </c>
      <c r="C1081" s="12">
        <v>366.88360410726102</v>
      </c>
      <c r="D1081" s="8">
        <v>1.19814330451256</v>
      </c>
      <c r="E1081" s="12">
        <v>9.8845507353414897E-3</v>
      </c>
      <c r="F1081" s="8" t="s">
        <v>773</v>
      </c>
      <c r="G1081" s="12" t="s">
        <v>774</v>
      </c>
      <c r="H1081" s="12">
        <v>1</v>
      </c>
      <c r="I1081" s="13" t="str">
        <f>HYPERLINK("http://www.ncbi.nlm.nih.gov/gene/57609", "57609")</f>
        <v>57609</v>
      </c>
      <c r="J1081" s="13" t="str">
        <f>HYPERLINK("http://www.ncbi.nlm.nih.gov/nuccore/NM_173602", "NM_173602")</f>
        <v>NM_173602</v>
      </c>
      <c r="K1081" s="12" t="s">
        <v>775</v>
      </c>
      <c r="L1081" s="13" t="str">
        <f>HYPERLINK("http://asia.ensembl.org/Homo_sapiens/Gene/Summary?g=ENSG00000066084", "ENSG00000066084")</f>
        <v>ENSG00000066084</v>
      </c>
      <c r="M1081" s="12" t="s">
        <v>12101</v>
      </c>
      <c r="N1081" s="12" t="s">
        <v>12102</v>
      </c>
    </row>
    <row r="1082" spans="1:14">
      <c r="A1082" s="12" t="s">
        <v>5392</v>
      </c>
      <c r="B1082" s="8">
        <v>2281.6380640386601</v>
      </c>
      <c r="C1082" s="12">
        <v>994.60890903366305</v>
      </c>
      <c r="D1082" s="8">
        <v>1.19786869624473</v>
      </c>
      <c r="E1082" s="12">
        <v>7.5957382906214101E-3</v>
      </c>
      <c r="F1082" s="8" t="s">
        <v>5393</v>
      </c>
      <c r="G1082" s="12" t="s">
        <v>5394</v>
      </c>
      <c r="H1082" s="12">
        <v>1</v>
      </c>
      <c r="I1082" s="13" t="str">
        <f>HYPERLINK("http://www.ncbi.nlm.nih.gov/gene/57654", "57654")</f>
        <v>57654</v>
      </c>
      <c r="J1082" s="13" t="str">
        <f>HYPERLINK("http://www.ncbi.nlm.nih.gov/nuccore/NM_020894", "NM_020894")</f>
        <v>NM_020894</v>
      </c>
      <c r="K1082" s="12" t="s">
        <v>5395</v>
      </c>
      <c r="L1082" s="13" t="str">
        <f>HYPERLINK("http://asia.ensembl.org/Homo_sapiens/Gene/Summary?g=ENSG00000163945", "ENSG00000163945")</f>
        <v>ENSG00000163945</v>
      </c>
      <c r="M1082" s="12" t="s">
        <v>13721</v>
      </c>
      <c r="N1082" s="12" t="s">
        <v>13722</v>
      </c>
    </row>
    <row r="1083" spans="1:14">
      <c r="A1083" s="12" t="s">
        <v>4462</v>
      </c>
      <c r="B1083" s="8">
        <v>4438.2968720090403</v>
      </c>
      <c r="C1083" s="12">
        <v>1935.11639094155</v>
      </c>
      <c r="D1083" s="8">
        <v>1.1975858284088601</v>
      </c>
      <c r="E1083" s="12">
        <v>8.9284824836052702E-3</v>
      </c>
      <c r="F1083" s="8" t="s">
        <v>4463</v>
      </c>
      <c r="G1083" s="12" t="s">
        <v>4464</v>
      </c>
      <c r="H1083" s="12">
        <v>1</v>
      </c>
      <c r="I1083" s="13" t="str">
        <f>HYPERLINK("http://www.ncbi.nlm.nih.gov/gene/91746", "91746")</f>
        <v>91746</v>
      </c>
      <c r="J1083" s="12" t="s">
        <v>13242</v>
      </c>
      <c r="K1083" s="12" t="s">
        <v>13243</v>
      </c>
      <c r="L1083" s="13" t="str">
        <f>HYPERLINK("http://asia.ensembl.org/Homo_sapiens/Gene/Summary?g=ENSG00000275272", "ENSG00000275272")</f>
        <v>ENSG00000275272</v>
      </c>
      <c r="M1083" s="12" t="s">
        <v>13244</v>
      </c>
      <c r="N1083" s="12" t="s">
        <v>13245</v>
      </c>
    </row>
    <row r="1084" spans="1:14">
      <c r="A1084" s="12" t="s">
        <v>5788</v>
      </c>
      <c r="B1084" s="8">
        <v>579.97621619781103</v>
      </c>
      <c r="C1084" s="12">
        <v>252.95038192383299</v>
      </c>
      <c r="D1084" s="8">
        <v>1.1971393216348001</v>
      </c>
      <c r="E1084" s="12">
        <v>9.1782340960768205E-3</v>
      </c>
      <c r="F1084" s="8" t="s">
        <v>5789</v>
      </c>
      <c r="G1084" s="12" t="s">
        <v>5790</v>
      </c>
      <c r="H1084" s="12">
        <v>1</v>
      </c>
      <c r="I1084" s="13" t="str">
        <f>HYPERLINK("http://www.ncbi.nlm.nih.gov/gene/80208", "80208")</f>
        <v>80208</v>
      </c>
      <c r="J1084" s="12" t="s">
        <v>13903</v>
      </c>
      <c r="K1084" s="12" t="s">
        <v>13904</v>
      </c>
      <c r="L1084" s="13" t="str">
        <f>HYPERLINK("http://asia.ensembl.org/Homo_sapiens/Gene/Summary?g=ENSG00000104133", "ENSG00000104133")</f>
        <v>ENSG00000104133</v>
      </c>
      <c r="M1084" s="12" t="s">
        <v>13905</v>
      </c>
      <c r="N1084" s="12" t="s">
        <v>13906</v>
      </c>
    </row>
    <row r="1085" spans="1:14">
      <c r="A1085" s="12" t="s">
        <v>10732</v>
      </c>
      <c r="B1085" s="8">
        <v>336.85759238278598</v>
      </c>
      <c r="C1085" s="12">
        <v>147.00969082701701</v>
      </c>
      <c r="D1085" s="8">
        <v>1.19622755623389</v>
      </c>
      <c r="E1085" s="12">
        <v>5.2770774739265198E-4</v>
      </c>
      <c r="F1085" s="8" t="s">
        <v>8568</v>
      </c>
      <c r="G1085" s="12" t="s">
        <v>93</v>
      </c>
      <c r="H1085" s="12">
        <v>1</v>
      </c>
      <c r="I1085" s="13" t="str">
        <f>HYPERLINK("http://www.ncbi.nlm.nih.gov/gene/29103", "29103")</f>
        <v>29103</v>
      </c>
      <c r="J1085" s="13" t="str">
        <f>HYPERLINK("http://www.ncbi.nlm.nih.gov/nuccore/NM_013238", "NM_013238")</f>
        <v>NM_013238</v>
      </c>
      <c r="K1085" s="12" t="s">
        <v>8569</v>
      </c>
      <c r="L1085" s="13" t="str">
        <f>HYPERLINK("http://asia.ensembl.org/Homo_sapiens/Gene/Summary?g=ENSG00000120675", "ENSG00000120675")</f>
        <v>ENSG00000120675</v>
      </c>
      <c r="M1085" s="12" t="s">
        <v>15784</v>
      </c>
      <c r="N1085" s="12" t="s">
        <v>8570</v>
      </c>
    </row>
    <row r="1086" spans="1:14">
      <c r="A1086" s="12" t="s">
        <v>5670</v>
      </c>
      <c r="B1086" s="8">
        <v>170.74885118012099</v>
      </c>
      <c r="C1086" s="12">
        <v>74.545479335014903</v>
      </c>
      <c r="D1086" s="8">
        <v>1.1956831010619</v>
      </c>
      <c r="E1086" s="12">
        <v>4.75656515667712E-3</v>
      </c>
      <c r="F1086" s="8" t="s">
        <v>5671</v>
      </c>
      <c r="G1086" s="12" t="s">
        <v>5672</v>
      </c>
      <c r="H1086" s="12">
        <v>1</v>
      </c>
      <c r="I1086" s="13" t="str">
        <f>HYPERLINK("http://www.ncbi.nlm.nih.gov/gene/4750", "4750")</f>
        <v>4750</v>
      </c>
      <c r="J1086" s="12" t="s">
        <v>13869</v>
      </c>
      <c r="K1086" s="12" t="s">
        <v>13870</v>
      </c>
      <c r="L1086" s="13" t="str">
        <f>HYPERLINK("http://asia.ensembl.org/Homo_sapiens/Gene/Summary?g=ENSG00000137601", "ENSG00000137601")</f>
        <v>ENSG00000137601</v>
      </c>
      <c r="M1086" s="12" t="s">
        <v>13871</v>
      </c>
      <c r="N1086" s="12" t="s">
        <v>13872</v>
      </c>
    </row>
    <row r="1087" spans="1:14">
      <c r="A1087" s="12" t="s">
        <v>10815</v>
      </c>
      <c r="B1087" s="8">
        <v>704.93290925896702</v>
      </c>
      <c r="C1087" s="12">
        <v>307.77039198232302</v>
      </c>
      <c r="D1087" s="8">
        <v>1.19563150939289</v>
      </c>
      <c r="E1087" s="12">
        <v>1.54506781981831E-3</v>
      </c>
      <c r="F1087" s="8" t="s">
        <v>4750</v>
      </c>
      <c r="G1087" s="12" t="s">
        <v>4751</v>
      </c>
      <c r="H1087" s="12">
        <v>1</v>
      </c>
      <c r="I1087" s="13" t="str">
        <f>HYPERLINK("http://www.ncbi.nlm.nih.gov/gene/54675", "54675")</f>
        <v>54675</v>
      </c>
      <c r="J1087" s="12" t="s">
        <v>15917</v>
      </c>
      <c r="K1087" s="12" t="s">
        <v>15918</v>
      </c>
      <c r="L1087" s="13" t="str">
        <f>HYPERLINK("http://asia.ensembl.org/Homo_sapiens/Gene/Summary?g=ENSG00000088766", "ENSG00000088766")</f>
        <v>ENSG00000088766</v>
      </c>
      <c r="M1087" s="12" t="s">
        <v>15919</v>
      </c>
      <c r="N1087" s="12" t="s">
        <v>15920</v>
      </c>
    </row>
    <row r="1088" spans="1:14">
      <c r="A1088" s="12" t="s">
        <v>2244</v>
      </c>
      <c r="B1088" s="8">
        <v>8587.7483866666498</v>
      </c>
      <c r="C1088" s="12">
        <v>3751.0879879358099</v>
      </c>
      <c r="D1088" s="8">
        <v>1.1949708179634599</v>
      </c>
      <c r="E1088" s="12">
        <v>6.8179533357381802E-3</v>
      </c>
      <c r="F1088" s="8" t="s">
        <v>2245</v>
      </c>
      <c r="G1088" s="12" t="s">
        <v>12582</v>
      </c>
      <c r="H1088" s="12">
        <v>1</v>
      </c>
      <c r="I1088" s="13" t="str">
        <f>HYPERLINK("http://www.ncbi.nlm.nih.gov/gene/50810", "50810")</f>
        <v>50810</v>
      </c>
      <c r="J1088" s="13" t="str">
        <f>HYPERLINK("http://www.ncbi.nlm.nih.gov/nuccore/NM_016073", "NM_016073")</f>
        <v>NM_016073</v>
      </c>
      <c r="K1088" s="12" t="s">
        <v>2246</v>
      </c>
      <c r="L1088" s="13" t="str">
        <f>HYPERLINK("http://asia.ensembl.org/Homo_sapiens/Gene/Summary?g=ENSG00000166503", "ENSG00000166503")</f>
        <v>ENSG00000166503</v>
      </c>
      <c r="M1088" s="12" t="s">
        <v>12583</v>
      </c>
      <c r="N1088" s="12" t="s">
        <v>12584</v>
      </c>
    </row>
    <row r="1089" spans="1:14">
      <c r="A1089" s="12" t="s">
        <v>7062</v>
      </c>
      <c r="B1089" s="8">
        <v>3347.3003937746698</v>
      </c>
      <c r="C1089" s="12">
        <v>1462.4299334278001</v>
      </c>
      <c r="D1089" s="8">
        <v>1.19463052202105</v>
      </c>
      <c r="E1089" s="12">
        <v>3.17220205655402E-3</v>
      </c>
      <c r="F1089" s="8" t="s">
        <v>7063</v>
      </c>
      <c r="G1089" s="12" t="s">
        <v>7064</v>
      </c>
      <c r="H1089" s="12">
        <v>1</v>
      </c>
      <c r="I1089" s="13" t="str">
        <f>HYPERLINK("http://www.ncbi.nlm.nih.gov/gene/9584", "9584")</f>
        <v>9584</v>
      </c>
      <c r="J1089" s="12" t="s">
        <v>14339</v>
      </c>
      <c r="K1089" s="12" t="s">
        <v>14340</v>
      </c>
      <c r="L1089" s="13" t="str">
        <f>HYPERLINK("http://asia.ensembl.org/Homo_sapiens/Gene/Summary?g=ENSG00000131051", "ENSG00000131051")</f>
        <v>ENSG00000131051</v>
      </c>
      <c r="M1089" s="12" t="s">
        <v>14341</v>
      </c>
      <c r="N1089" s="12" t="s">
        <v>14342</v>
      </c>
    </row>
    <row r="1090" spans="1:14">
      <c r="A1090" s="12" t="s">
        <v>1693</v>
      </c>
      <c r="B1090" s="8">
        <v>1009.90392186607</v>
      </c>
      <c r="C1090" s="12">
        <v>441.25832580699</v>
      </c>
      <c r="D1090" s="8">
        <v>1.19452264239526</v>
      </c>
      <c r="E1090" s="12">
        <v>3.3286925764855098E-3</v>
      </c>
      <c r="F1090" s="8" t="s">
        <v>1694</v>
      </c>
      <c r="G1090" s="12" t="s">
        <v>1695</v>
      </c>
      <c r="H1090" s="12">
        <v>1</v>
      </c>
      <c r="I1090" s="13" t="str">
        <f>HYPERLINK("http://www.ncbi.nlm.nih.gov/gene/7444", "7444")</f>
        <v>7444</v>
      </c>
      <c r="J1090" s="12" t="s">
        <v>12390</v>
      </c>
      <c r="K1090" s="12" t="s">
        <v>12391</v>
      </c>
      <c r="L1090" s="13" t="str">
        <f>HYPERLINK("http://asia.ensembl.org/Homo_sapiens/Gene/Summary?g=ENSG00000028116", "ENSG00000028116")</f>
        <v>ENSG00000028116</v>
      </c>
      <c r="M1090" s="12" t="s">
        <v>12392</v>
      </c>
      <c r="N1090" s="12" t="s">
        <v>12393</v>
      </c>
    </row>
    <row r="1091" spans="1:14">
      <c r="A1091" s="12" t="s">
        <v>8921</v>
      </c>
      <c r="B1091" s="8">
        <v>220.93500620604499</v>
      </c>
      <c r="C1091" s="12">
        <v>96.569084284222996</v>
      </c>
      <c r="D1091" s="8">
        <v>1.19398872329154</v>
      </c>
      <c r="E1091" s="12">
        <v>1.24268192703716E-3</v>
      </c>
      <c r="F1091" s="8" t="s">
        <v>8922</v>
      </c>
      <c r="G1091" s="12" t="s">
        <v>8923</v>
      </c>
      <c r="H1091" s="12">
        <v>1</v>
      </c>
      <c r="I1091" s="13" t="str">
        <f>HYPERLINK("http://www.ncbi.nlm.nih.gov/gene/4591", "4591")</f>
        <v>4591</v>
      </c>
      <c r="J1091" s="13" t="str">
        <f>HYPERLINK("http://www.ncbi.nlm.nih.gov/nuccore/NM_001005207", "NM_001005207")</f>
        <v>NM_001005207</v>
      </c>
      <c r="K1091" s="12" t="s">
        <v>8924</v>
      </c>
      <c r="L1091" s="13" t="str">
        <f>HYPERLINK("http://asia.ensembl.org/Homo_sapiens/Gene/Summary?g=ENSG00000108395", "ENSG00000108395")</f>
        <v>ENSG00000108395</v>
      </c>
      <c r="M1091" s="12" t="s">
        <v>14940</v>
      </c>
      <c r="N1091" s="12" t="s">
        <v>14941</v>
      </c>
    </row>
    <row r="1092" spans="1:14">
      <c r="A1092" s="12" t="s">
        <v>1857</v>
      </c>
      <c r="B1092" s="8">
        <v>664.758821693551</v>
      </c>
      <c r="C1092" s="12">
        <v>290.56950602643298</v>
      </c>
      <c r="D1092" s="8">
        <v>1.19394771101428</v>
      </c>
      <c r="E1092" s="12">
        <v>1.6808770713937E-2</v>
      </c>
      <c r="F1092" s="8" t="s">
        <v>1858</v>
      </c>
      <c r="G1092" s="12" t="s">
        <v>1859</v>
      </c>
      <c r="H1092" s="12">
        <v>1</v>
      </c>
      <c r="I1092" s="13" t="str">
        <f>HYPERLINK("http://www.ncbi.nlm.nih.gov/gene/134429", "134429")</f>
        <v>134429</v>
      </c>
      <c r="J1092" s="13" t="str">
        <f>HYPERLINK("http://www.ncbi.nlm.nih.gov/nuccore/NM_139164", "NM_139164")</f>
        <v>NM_139164</v>
      </c>
      <c r="K1092" s="12" t="s">
        <v>1860</v>
      </c>
      <c r="L1092" s="13" t="str">
        <f>HYPERLINK("http://asia.ensembl.org/Homo_sapiens/Gene/Summary?g=ENSG00000164211", "ENSG00000164211")</f>
        <v>ENSG00000164211</v>
      </c>
      <c r="M1092" s="12" t="s">
        <v>12450</v>
      </c>
      <c r="N1092" s="12" t="s">
        <v>12451</v>
      </c>
    </row>
    <row r="1093" spans="1:14">
      <c r="A1093" s="12" t="s">
        <v>6784</v>
      </c>
      <c r="B1093" s="8">
        <v>2652.7445726257802</v>
      </c>
      <c r="C1093" s="12">
        <v>1159.5336102497099</v>
      </c>
      <c r="D1093" s="8">
        <v>1.1939411295267199</v>
      </c>
      <c r="E1093" s="12">
        <v>3.1795349872945E-3</v>
      </c>
      <c r="F1093" s="8" t="s">
        <v>6785</v>
      </c>
      <c r="G1093" s="12" t="s">
        <v>6786</v>
      </c>
      <c r="H1093" s="12">
        <v>1</v>
      </c>
      <c r="I1093" s="13" t="str">
        <f>HYPERLINK("http://www.ncbi.nlm.nih.gov/gene/26054", "26054")</f>
        <v>26054</v>
      </c>
      <c r="J1093" s="12" t="s">
        <v>14257</v>
      </c>
      <c r="K1093" s="12" t="s">
        <v>14258</v>
      </c>
      <c r="L1093" s="13" t="str">
        <f>HYPERLINK("http://asia.ensembl.org/Homo_sapiens/Gene/Summary?g=ENSG00000112701", "ENSG00000112701")</f>
        <v>ENSG00000112701</v>
      </c>
      <c r="M1093" s="12" t="s">
        <v>14259</v>
      </c>
      <c r="N1093" s="12" t="s">
        <v>14260</v>
      </c>
    </row>
    <row r="1094" spans="1:14">
      <c r="A1094" s="12" t="s">
        <v>3725</v>
      </c>
      <c r="B1094" s="8">
        <v>279.79249528748801</v>
      </c>
      <c r="C1094" s="12">
        <v>122.342885842847</v>
      </c>
      <c r="D1094" s="8">
        <v>1.1934270543431</v>
      </c>
      <c r="E1094" s="12">
        <v>1.4036509852508001E-2</v>
      </c>
      <c r="F1094" s="8" t="s">
        <v>3726</v>
      </c>
      <c r="G1094" s="12" t="s">
        <v>3727</v>
      </c>
      <c r="H1094" s="12">
        <v>1</v>
      </c>
      <c r="I1094" s="13" t="str">
        <f>HYPERLINK("http://www.ncbi.nlm.nih.gov/gene/148156", "148156")</f>
        <v>148156</v>
      </c>
      <c r="J1094" s="13" t="str">
        <f>HYPERLINK("http://www.ncbi.nlm.nih.gov/nuccore/NM_144693", "NM_144693")</f>
        <v>NM_144693</v>
      </c>
      <c r="K1094" s="12" t="s">
        <v>3728</v>
      </c>
      <c r="L1094" s="13" t="str">
        <f>HYPERLINK("http://asia.ensembl.org/Homo_sapiens/Gene/Summary?g=ENSG00000167785", "ENSG00000167785")</f>
        <v>ENSG00000167785</v>
      </c>
      <c r="M1094" s="12" t="s">
        <v>13081</v>
      </c>
      <c r="N1094" s="12" t="s">
        <v>13082</v>
      </c>
    </row>
    <row r="1095" spans="1:14">
      <c r="A1095" s="12" t="s">
        <v>9520</v>
      </c>
      <c r="B1095" s="8">
        <v>317.379258388697</v>
      </c>
      <c r="C1095" s="12">
        <v>138.78590198555099</v>
      </c>
      <c r="D1095" s="8">
        <v>1.1933468222321999</v>
      </c>
      <c r="E1095" s="12">
        <v>5.7200020087050602E-3</v>
      </c>
      <c r="F1095" s="8" t="s">
        <v>9521</v>
      </c>
      <c r="G1095" s="12" t="s">
        <v>9522</v>
      </c>
      <c r="H1095" s="12">
        <v>1</v>
      </c>
      <c r="I1095" s="13" t="str">
        <f>HYPERLINK("http://www.ncbi.nlm.nih.gov/gene/64432", "64432")</f>
        <v>64432</v>
      </c>
      <c r="J1095" s="13" t="str">
        <f>HYPERLINK("http://www.ncbi.nlm.nih.gov/nuccore/NM_022497", "NM_022497")</f>
        <v>NM_022497</v>
      </c>
      <c r="K1095" s="12" t="s">
        <v>9523</v>
      </c>
      <c r="L1095" s="13" t="str">
        <f>HYPERLINK("http://asia.ensembl.org/Homo_sapiens/Gene/Summary?g=ENSG00000131368", "ENSG00000131368")</f>
        <v>ENSG00000131368</v>
      </c>
      <c r="M1095" s="12" t="s">
        <v>15062</v>
      </c>
      <c r="N1095" s="12" t="s">
        <v>15063</v>
      </c>
    </row>
    <row r="1096" spans="1:14">
      <c r="A1096" s="12" t="s">
        <v>9621</v>
      </c>
      <c r="B1096" s="8">
        <v>19642.1046413195</v>
      </c>
      <c r="C1096" s="12">
        <v>8590.5988562136899</v>
      </c>
      <c r="D1096" s="8">
        <v>1.19311891077171</v>
      </c>
      <c r="E1096" s="12">
        <v>1.35286720358569E-4</v>
      </c>
      <c r="F1096" s="8" t="s">
        <v>8971</v>
      </c>
      <c r="G1096" s="12" t="s">
        <v>7488</v>
      </c>
      <c r="H1096" s="12">
        <v>1</v>
      </c>
      <c r="I1096" s="13" t="str">
        <f>HYPERLINK("http://www.ncbi.nlm.nih.gov/gene/3320", "3320")</f>
        <v>3320</v>
      </c>
      <c r="J1096" s="12" t="s">
        <v>15119</v>
      </c>
      <c r="K1096" s="12" t="s">
        <v>15120</v>
      </c>
      <c r="L1096" s="13" t="str">
        <f>HYPERLINK("http://asia.ensembl.org/Homo_sapiens/Gene/Summary?g=ENSG00000080824", "ENSG00000080824")</f>
        <v>ENSG00000080824</v>
      </c>
      <c r="M1096" s="12" t="s">
        <v>15121</v>
      </c>
      <c r="N1096" s="12" t="s">
        <v>15122</v>
      </c>
    </row>
    <row r="1097" spans="1:14">
      <c r="A1097" s="12" t="s">
        <v>3496</v>
      </c>
      <c r="B1097" s="8">
        <v>206.54864699016801</v>
      </c>
      <c r="C1097" s="12">
        <v>90.341927194951097</v>
      </c>
      <c r="D1097" s="8">
        <v>1.1930140146392101</v>
      </c>
      <c r="E1097" s="12">
        <v>4.3447891417648599E-2</v>
      </c>
      <c r="F1097" s="8" t="s">
        <v>3497</v>
      </c>
      <c r="G1097" s="12" t="s">
        <v>3498</v>
      </c>
      <c r="H1097" s="12">
        <v>1</v>
      </c>
      <c r="I1097" s="13" t="str">
        <f>HYPERLINK("http://www.ncbi.nlm.nih.gov/gene/9310", "9310")</f>
        <v>9310</v>
      </c>
      <c r="J1097" s="13" t="str">
        <f>HYPERLINK("http://www.ncbi.nlm.nih.gov/nuccore/NM_004234", "NM_004234")</f>
        <v>NM_004234</v>
      </c>
      <c r="K1097" s="12" t="s">
        <v>3499</v>
      </c>
      <c r="L1097" s="13" t="str">
        <f>HYPERLINK("http://asia.ensembl.org/Homo_sapiens/Gene/Summary?g=ENSG00000159917", "ENSG00000159917")</f>
        <v>ENSG00000159917</v>
      </c>
      <c r="M1097" s="12" t="s">
        <v>13011</v>
      </c>
      <c r="N1097" s="12" t="s">
        <v>13012</v>
      </c>
    </row>
    <row r="1098" spans="1:14">
      <c r="A1098" s="12" t="s">
        <v>758</v>
      </c>
      <c r="B1098" s="8">
        <v>286.70035343222202</v>
      </c>
      <c r="C1098" s="12">
        <v>125.417450959679</v>
      </c>
      <c r="D1098" s="8">
        <v>1.1928055800586099</v>
      </c>
      <c r="E1098" s="12">
        <v>4.0557745248528797E-3</v>
      </c>
      <c r="F1098" s="8" t="s">
        <v>759</v>
      </c>
      <c r="G1098" s="12" t="s">
        <v>760</v>
      </c>
      <c r="H1098" s="12">
        <v>1</v>
      </c>
      <c r="I1098" s="13" t="str">
        <f>HYPERLINK("http://www.ncbi.nlm.nih.gov/gene/4361", "4361")</f>
        <v>4361</v>
      </c>
      <c r="J1098" s="12" t="s">
        <v>12093</v>
      </c>
      <c r="K1098" s="12" t="s">
        <v>12094</v>
      </c>
      <c r="L1098" s="13" t="str">
        <f>HYPERLINK("http://asia.ensembl.org/Homo_sapiens/Gene/Summary?g=ENSG00000020922", "ENSG00000020922")</f>
        <v>ENSG00000020922</v>
      </c>
      <c r="M1098" s="12" t="s">
        <v>12095</v>
      </c>
      <c r="N1098" s="12" t="s">
        <v>12096</v>
      </c>
    </row>
    <row r="1099" spans="1:14">
      <c r="A1099" s="12" t="s">
        <v>3614</v>
      </c>
      <c r="B1099" s="8">
        <v>32674.827287599499</v>
      </c>
      <c r="C1099" s="12">
        <v>14304.4923245997</v>
      </c>
      <c r="D1099" s="8">
        <v>1.19171131383409</v>
      </c>
      <c r="E1099" s="12">
        <v>5.0334654432624398E-3</v>
      </c>
      <c r="F1099" s="8" t="s">
        <v>3615</v>
      </c>
      <c r="G1099" s="12" t="s">
        <v>13060</v>
      </c>
      <c r="H1099" s="12">
        <v>1</v>
      </c>
      <c r="I1099" s="13" t="str">
        <f>HYPERLINK("http://www.ncbi.nlm.nih.gov/gene/57050", "57050")</f>
        <v>57050</v>
      </c>
      <c r="J1099" s="13" t="str">
        <f>HYPERLINK("http://www.ncbi.nlm.nih.gov/nuccore/NM_020368", "NM_020368")</f>
        <v>NM_020368</v>
      </c>
      <c r="K1099" s="12" t="s">
        <v>3616</v>
      </c>
      <c r="L1099" s="13" t="str">
        <f>HYPERLINK("http://asia.ensembl.org/Homo_sapiens/Gene/Summary?g=ENSG00000132467", "ENSG00000132467")</f>
        <v>ENSG00000132467</v>
      </c>
      <c r="M1099" s="12" t="s">
        <v>3617</v>
      </c>
      <c r="N1099" s="12" t="s">
        <v>3618</v>
      </c>
    </row>
    <row r="1100" spans="1:14">
      <c r="A1100" s="12" t="s">
        <v>4573</v>
      </c>
      <c r="B1100" s="8">
        <v>146.918048333581</v>
      </c>
      <c r="C1100" s="12">
        <v>64.324246566639104</v>
      </c>
      <c r="D1100" s="8">
        <v>1.19157707767316</v>
      </c>
      <c r="E1100" s="12">
        <v>3.5772131304799998E-4</v>
      </c>
      <c r="F1100" s="8" t="s">
        <v>4574</v>
      </c>
      <c r="G1100" s="12" t="s">
        <v>448</v>
      </c>
      <c r="H1100" s="12">
        <v>1</v>
      </c>
      <c r="I1100" s="13" t="str">
        <f>HYPERLINK("http://www.ncbi.nlm.nih.gov/gene/83666", "83666")</f>
        <v>83666</v>
      </c>
      <c r="J1100" s="12" t="s">
        <v>13288</v>
      </c>
      <c r="K1100" s="12" t="s">
        <v>13289</v>
      </c>
      <c r="L1100" s="13" t="str">
        <f>HYPERLINK("http://asia.ensembl.org/Homo_sapiens/Gene/Summary?g=ENSG00000138496", "ENSG00000138496")</f>
        <v>ENSG00000138496</v>
      </c>
      <c r="M1100" s="12" t="s">
        <v>13290</v>
      </c>
      <c r="N1100" s="12" t="s">
        <v>13291</v>
      </c>
    </row>
    <row r="1101" spans="1:14">
      <c r="A1101" s="12" t="s">
        <v>2864</v>
      </c>
      <c r="B1101" s="8">
        <v>3092.6394701255499</v>
      </c>
      <c r="C1101" s="12">
        <v>1354.65267427864</v>
      </c>
      <c r="D1101" s="8">
        <v>1.19091565884649</v>
      </c>
      <c r="E1101" s="12">
        <v>4.4361994962282096E-3</v>
      </c>
      <c r="F1101" s="8" t="s">
        <v>2865</v>
      </c>
      <c r="G1101" s="12" t="s">
        <v>2866</v>
      </c>
      <c r="H1101" s="12">
        <v>1</v>
      </c>
      <c r="I1101" s="13" t="str">
        <f>HYPERLINK("http://www.ncbi.nlm.nih.gov/gene/25782", "25782")</f>
        <v>25782</v>
      </c>
      <c r="J1101" s="13" t="str">
        <f>HYPERLINK("http://www.ncbi.nlm.nih.gov/nuccore/NM_012414", "NM_012414")</f>
        <v>NM_012414</v>
      </c>
      <c r="K1101" s="12" t="s">
        <v>2867</v>
      </c>
      <c r="L1101" s="13" t="str">
        <f>HYPERLINK("http://asia.ensembl.org/Homo_sapiens/Gene/Summary?g=ENSG00000118873", "ENSG00000118873")</f>
        <v>ENSG00000118873</v>
      </c>
      <c r="M1101" s="12" t="s">
        <v>12816</v>
      </c>
      <c r="N1101" s="12" t="s">
        <v>12817</v>
      </c>
    </row>
    <row r="1102" spans="1:14">
      <c r="A1102" s="12" t="s">
        <v>11122</v>
      </c>
      <c r="B1102" s="8">
        <v>6855.4175450470102</v>
      </c>
      <c r="C1102" s="12">
        <v>3004.7470209128701</v>
      </c>
      <c r="D1102" s="8">
        <v>1.1900010083321999</v>
      </c>
      <c r="E1102" s="12">
        <v>7.2157050079593396E-4</v>
      </c>
      <c r="F1102" s="8" t="s">
        <v>645</v>
      </c>
      <c r="G1102" s="12" t="s">
        <v>15983</v>
      </c>
      <c r="H1102" s="12">
        <v>1</v>
      </c>
      <c r="I1102" s="13" t="str">
        <f>HYPERLINK("http://www.ncbi.nlm.nih.gov/gene/121441", "121441")</f>
        <v>121441</v>
      </c>
      <c r="J1102" s="12" t="s">
        <v>15984</v>
      </c>
      <c r="K1102" s="12" t="s">
        <v>15985</v>
      </c>
      <c r="L1102" s="13" t="str">
        <f>HYPERLINK("http://asia.ensembl.org/Homo_sapiens/Gene/Summary?g=ENSG00000139350", "ENSG00000139350")</f>
        <v>ENSG00000139350</v>
      </c>
      <c r="M1102" s="12" t="s">
        <v>15986</v>
      </c>
      <c r="N1102" s="12" t="s">
        <v>15987</v>
      </c>
    </row>
    <row r="1103" spans="1:14">
      <c r="A1103" s="12" t="s">
        <v>11446</v>
      </c>
      <c r="B1103" s="8">
        <v>34517.375752463697</v>
      </c>
      <c r="C1103" s="12">
        <v>15130.7062501566</v>
      </c>
      <c r="D1103" s="8">
        <v>1.1898434558708999</v>
      </c>
      <c r="E1103" s="12">
        <v>8.8829766557684993E-3</v>
      </c>
      <c r="F1103" s="8" t="s">
        <v>11447</v>
      </c>
      <c r="G1103" s="12" t="s">
        <v>16142</v>
      </c>
      <c r="H1103" s="12">
        <v>4</v>
      </c>
      <c r="I1103" s="12" t="s">
        <v>11448</v>
      </c>
      <c r="J1103" s="12" t="s">
        <v>11449</v>
      </c>
      <c r="K1103" s="12" t="s">
        <v>11450</v>
      </c>
      <c r="L1103" s="12" t="s">
        <v>11451</v>
      </c>
      <c r="M1103" s="12" t="s">
        <v>11452</v>
      </c>
      <c r="N1103" s="12" t="s">
        <v>11453</v>
      </c>
    </row>
    <row r="1104" spans="1:14">
      <c r="A1104" s="12" t="s">
        <v>6283</v>
      </c>
      <c r="B1104" s="8">
        <v>1056.89546087909</v>
      </c>
      <c r="C1104" s="12">
        <v>463.37162879869999</v>
      </c>
      <c r="D1104" s="8">
        <v>1.18959106558821</v>
      </c>
      <c r="E1104" s="12">
        <v>4.9555069291147402E-3</v>
      </c>
      <c r="F1104" s="8" t="s">
        <v>6284</v>
      </c>
      <c r="G1104" s="12" t="s">
        <v>6285</v>
      </c>
      <c r="H1104" s="12">
        <v>1</v>
      </c>
      <c r="I1104" s="13" t="str">
        <f>HYPERLINK("http://www.ncbi.nlm.nih.gov/gene/84318", "84318")</f>
        <v>84318</v>
      </c>
      <c r="J1104" s="12" t="s">
        <v>14122</v>
      </c>
      <c r="K1104" s="12" t="s">
        <v>14123</v>
      </c>
      <c r="L1104" s="13" t="str">
        <f>HYPERLINK("http://asia.ensembl.org/Homo_sapiens/Gene/Summary?g=ENSG00000120647", "ENSG00000120647")</f>
        <v>ENSG00000120647</v>
      </c>
      <c r="M1104" s="12" t="s">
        <v>14124</v>
      </c>
      <c r="N1104" s="12" t="s">
        <v>14125</v>
      </c>
    </row>
    <row r="1105" spans="1:14">
      <c r="A1105" s="12" t="s">
        <v>4831</v>
      </c>
      <c r="B1105" s="8">
        <v>7861.8930133800804</v>
      </c>
      <c r="C1105" s="12">
        <v>3446.9526903505498</v>
      </c>
      <c r="D1105" s="8">
        <v>1.1895552335802</v>
      </c>
      <c r="E1105" s="12">
        <v>3.6503994312967998E-3</v>
      </c>
      <c r="F1105" s="8" t="s">
        <v>4832</v>
      </c>
      <c r="G1105" s="12" t="s">
        <v>4833</v>
      </c>
      <c r="H1105" s="12">
        <v>1</v>
      </c>
      <c r="I1105" s="13" t="str">
        <f>HYPERLINK("http://www.ncbi.nlm.nih.gov/gene/25963", "25963")</f>
        <v>25963</v>
      </c>
      <c r="J1105" s="13" t="str">
        <f>HYPERLINK("http://www.ncbi.nlm.nih.gov/nuccore/NM_015497", "NM_015497")</f>
        <v>NM_015497</v>
      </c>
      <c r="K1105" s="12" t="s">
        <v>4834</v>
      </c>
      <c r="L1105" s="13" t="str">
        <f>HYPERLINK("http://asia.ensembl.org/Homo_sapiens/Gene/Summary?g=ENSG00000103978", "ENSG00000103978")</f>
        <v>ENSG00000103978</v>
      </c>
      <c r="M1105" s="12" t="s">
        <v>13413</v>
      </c>
      <c r="N1105" s="12" t="s">
        <v>13414</v>
      </c>
    </row>
    <row r="1106" spans="1:14">
      <c r="A1106" s="12" t="s">
        <v>8208</v>
      </c>
      <c r="B1106" s="8">
        <v>635.99503938459202</v>
      </c>
      <c r="C1106" s="12">
        <v>279.10169873278198</v>
      </c>
      <c r="D1106" s="8">
        <v>1.1882246075709599</v>
      </c>
      <c r="E1106" s="12">
        <v>1.3272186763163499E-2</v>
      </c>
      <c r="F1106" s="8" t="s">
        <v>8209</v>
      </c>
      <c r="G1106" s="12" t="s">
        <v>8210</v>
      </c>
      <c r="H1106" s="12">
        <v>1</v>
      </c>
      <c r="I1106" s="13" t="str">
        <f>HYPERLINK("http://www.ncbi.nlm.nih.gov/gene/79912", "79912")</f>
        <v>79912</v>
      </c>
      <c r="J1106" s="13" t="str">
        <f>HYPERLINK("http://www.ncbi.nlm.nih.gov/nuccore/NM_024854", "NM_024854")</f>
        <v>NM_024854</v>
      </c>
      <c r="K1106" s="12" t="s">
        <v>8211</v>
      </c>
      <c r="L1106" s="13" t="str">
        <f>HYPERLINK("http://asia.ensembl.org/Homo_sapiens/Gene/Summary?g=ENSG00000121350", "ENSG00000121350")</f>
        <v>ENSG00000121350</v>
      </c>
      <c r="M1106" s="12" t="s">
        <v>14706</v>
      </c>
      <c r="N1106" s="12" t="s">
        <v>14707</v>
      </c>
    </row>
    <row r="1107" spans="1:14">
      <c r="A1107" s="12" t="s">
        <v>11157</v>
      </c>
      <c r="B1107" s="8">
        <v>946.98340725106698</v>
      </c>
      <c r="C1107" s="12">
        <v>415.61555757642901</v>
      </c>
      <c r="D1107" s="8">
        <v>1.1880894883626001</v>
      </c>
      <c r="E1107" s="12">
        <v>5.0140557134366499E-3</v>
      </c>
      <c r="F1107" s="8" t="s">
        <v>1874</v>
      </c>
      <c r="G1107" s="12" t="s">
        <v>12456</v>
      </c>
      <c r="H1107" s="12">
        <v>1</v>
      </c>
      <c r="I1107" s="13" t="str">
        <f>HYPERLINK("http://www.ncbi.nlm.nih.gov/gene/51715", "51715")</f>
        <v>51715</v>
      </c>
      <c r="J1107" s="12" t="s">
        <v>12457</v>
      </c>
      <c r="K1107" s="12" t="s">
        <v>12458</v>
      </c>
      <c r="L1107" s="13" t="str">
        <f>HYPERLINK("http://asia.ensembl.org/Homo_sapiens/Gene/Summary?g=ENSG00000112210", "ENSG00000112210")</f>
        <v>ENSG00000112210</v>
      </c>
      <c r="M1107" s="12" t="s">
        <v>12459</v>
      </c>
      <c r="N1107" s="12" t="s">
        <v>12460</v>
      </c>
    </row>
    <row r="1108" spans="1:14">
      <c r="A1108" s="12" t="s">
        <v>11467</v>
      </c>
      <c r="B1108" s="8">
        <v>6386.6894107117596</v>
      </c>
      <c r="C1108" s="12">
        <v>2803.3245137082499</v>
      </c>
      <c r="D1108" s="8">
        <v>1.1879295320629799</v>
      </c>
      <c r="E1108" s="12">
        <v>2.6740474193995599E-3</v>
      </c>
      <c r="F1108" s="8" t="s">
        <v>10990</v>
      </c>
      <c r="G1108" s="12" t="s">
        <v>10991</v>
      </c>
      <c r="H1108" s="12">
        <v>4</v>
      </c>
      <c r="I1108" s="12" t="s">
        <v>10992</v>
      </c>
      <c r="J1108" s="12" t="s">
        <v>16145</v>
      </c>
      <c r="K1108" s="12" t="s">
        <v>16146</v>
      </c>
      <c r="L1108" s="13" t="str">
        <f>HYPERLINK("http://asia.ensembl.org/Homo_sapiens/Gene/Summary?g=ENSG00000118689", "ENSG00000118689")</f>
        <v>ENSG00000118689</v>
      </c>
      <c r="M1108" s="12" t="s">
        <v>16147</v>
      </c>
      <c r="N1108" s="12" t="s">
        <v>16148</v>
      </c>
    </row>
    <row r="1109" spans="1:14">
      <c r="A1109" s="12" t="s">
        <v>9479</v>
      </c>
      <c r="B1109" s="8">
        <v>2838.37102820263</v>
      </c>
      <c r="C1109" s="12">
        <v>1247.0814472041</v>
      </c>
      <c r="D1109" s="8">
        <v>1.1865074979399901</v>
      </c>
      <c r="E1109" s="12">
        <v>7.7808842870192799E-3</v>
      </c>
      <c r="F1109" s="8" t="s">
        <v>3507</v>
      </c>
      <c r="G1109" s="12" t="s">
        <v>3508</v>
      </c>
      <c r="H1109" s="12">
        <v>1</v>
      </c>
      <c r="I1109" s="13" t="str">
        <f>HYPERLINK("http://www.ncbi.nlm.nih.gov/gene/23435", "23435")</f>
        <v>23435</v>
      </c>
      <c r="J1109" s="13" t="str">
        <f>HYPERLINK("http://www.ncbi.nlm.nih.gov/nuccore/NM_007375", "NM_007375")</f>
        <v>NM_007375</v>
      </c>
      <c r="K1109" s="12" t="s">
        <v>3509</v>
      </c>
      <c r="L1109" s="13" t="str">
        <f>HYPERLINK("http://asia.ensembl.org/Homo_sapiens/Gene/Summary?g=ENSG00000120948", "ENSG00000120948")</f>
        <v>ENSG00000120948</v>
      </c>
      <c r="M1109" s="12" t="s">
        <v>13020</v>
      </c>
      <c r="N1109" s="12" t="s">
        <v>13021</v>
      </c>
    </row>
    <row r="1110" spans="1:14">
      <c r="A1110" s="12" t="s">
        <v>10559</v>
      </c>
      <c r="B1110" s="8">
        <v>1629.0623433305</v>
      </c>
      <c r="C1110" s="12">
        <v>715.91118878486304</v>
      </c>
      <c r="D1110" s="8">
        <v>1.1861892835938901</v>
      </c>
      <c r="E1110" s="12">
        <v>1.1775613469415899E-2</v>
      </c>
      <c r="F1110" s="8" t="s">
        <v>7767</v>
      </c>
      <c r="G1110" s="12" t="s">
        <v>865</v>
      </c>
      <c r="H1110" s="12">
        <v>1</v>
      </c>
      <c r="I1110" s="13" t="str">
        <f>HYPERLINK("http://www.ncbi.nlm.nih.gov/gene/58508", "58508")</f>
        <v>58508</v>
      </c>
      <c r="J1110" s="13" t="str">
        <f>HYPERLINK("http://www.ncbi.nlm.nih.gov/nuccore/NM_170606", "NM_170606")</f>
        <v>NM_170606</v>
      </c>
      <c r="K1110" s="12" t="s">
        <v>7768</v>
      </c>
      <c r="L1110" s="13" t="str">
        <f>HYPERLINK("http://asia.ensembl.org/Homo_sapiens/Gene/Summary?g=ENSG00000055609", "ENSG00000055609")</f>
        <v>ENSG00000055609</v>
      </c>
      <c r="M1110" s="12" t="s">
        <v>15565</v>
      </c>
      <c r="N1110" s="12" t="s">
        <v>15566</v>
      </c>
    </row>
    <row r="1111" spans="1:14">
      <c r="A1111" s="12" t="s">
        <v>7873</v>
      </c>
      <c r="B1111" s="8">
        <v>1357.9179819748499</v>
      </c>
      <c r="C1111" s="12">
        <v>596.83768776099498</v>
      </c>
      <c r="D1111" s="8">
        <v>1.1859858000316901</v>
      </c>
      <c r="E1111" s="12">
        <v>9.6331494201650995E-3</v>
      </c>
      <c r="F1111" s="8" t="s">
        <v>7874</v>
      </c>
      <c r="G1111" s="12" t="s">
        <v>14592</v>
      </c>
      <c r="H1111" s="12">
        <v>1</v>
      </c>
      <c r="I1111" s="13" t="str">
        <f>HYPERLINK("http://www.ncbi.nlm.nih.gov/gene/83939", "83939")</f>
        <v>83939</v>
      </c>
      <c r="J1111" s="13" t="str">
        <f>HYPERLINK("http://www.ncbi.nlm.nih.gov/nuccore/NM_032025", "NM_032025")</f>
        <v>NM_032025</v>
      </c>
      <c r="K1111" s="12" t="s">
        <v>7875</v>
      </c>
      <c r="L1111" s="13" t="str">
        <f>HYPERLINK("http://asia.ensembl.org/Homo_sapiens/Gene/Summary?g=ENSG00000144895", "ENSG00000144895")</f>
        <v>ENSG00000144895</v>
      </c>
      <c r="M1111" s="12" t="s">
        <v>14593</v>
      </c>
      <c r="N1111" s="12" t="s">
        <v>14594</v>
      </c>
    </row>
    <row r="1112" spans="1:14">
      <c r="A1112" s="12" t="s">
        <v>7148</v>
      </c>
      <c r="B1112" s="8">
        <v>504.54498460170402</v>
      </c>
      <c r="C1112" s="12">
        <v>221.80150399135499</v>
      </c>
      <c r="D1112" s="8">
        <v>1.18571375579962</v>
      </c>
      <c r="E1112" s="12">
        <v>1.2848284262561901E-2</v>
      </c>
      <c r="F1112" s="8" t="s">
        <v>7149</v>
      </c>
      <c r="G1112" s="12" t="s">
        <v>7150</v>
      </c>
      <c r="H1112" s="12">
        <v>1</v>
      </c>
      <c r="I1112" s="13" t="str">
        <f>HYPERLINK("http://www.ncbi.nlm.nih.gov/gene/7336", "7336")</f>
        <v>7336</v>
      </c>
      <c r="J1112" s="13" t="str">
        <f>HYPERLINK("http://www.ncbi.nlm.nih.gov/nuccore/NM_003350", "NM_003350")</f>
        <v>NM_003350</v>
      </c>
      <c r="K1112" s="12" t="s">
        <v>7151</v>
      </c>
      <c r="L1112" s="13" t="str">
        <f>HYPERLINK("http://asia.ensembl.org/Homo_sapiens/Gene/Summary?g=ENSG00000169139", "ENSG00000169139")</f>
        <v>ENSG00000169139</v>
      </c>
      <c r="M1112" s="12" t="s">
        <v>14360</v>
      </c>
      <c r="N1112" s="12" t="s">
        <v>14361</v>
      </c>
    </row>
    <row r="1113" spans="1:14">
      <c r="A1113" s="12" t="s">
        <v>5971</v>
      </c>
      <c r="B1113" s="8">
        <v>3550.0785910582099</v>
      </c>
      <c r="C1113" s="12">
        <v>1561.00205679132</v>
      </c>
      <c r="D1113" s="8">
        <v>1.18537852489136</v>
      </c>
      <c r="E1113" s="12">
        <v>2.0773347490746601E-3</v>
      </c>
      <c r="F1113" s="8" t="s">
        <v>5972</v>
      </c>
      <c r="G1113" s="12" t="s">
        <v>1261</v>
      </c>
      <c r="H1113" s="12">
        <v>1</v>
      </c>
      <c r="I1113" s="13" t="str">
        <f>HYPERLINK("http://www.ncbi.nlm.nih.gov/gene/79718", "79718")</f>
        <v>79718</v>
      </c>
      <c r="J1113" s="13" t="str">
        <f>HYPERLINK("http://www.ncbi.nlm.nih.gov/nuccore/NM_024665", "NM_024665")</f>
        <v>NM_024665</v>
      </c>
      <c r="K1113" s="12" t="s">
        <v>5973</v>
      </c>
      <c r="L1113" s="13" t="str">
        <f>HYPERLINK("http://asia.ensembl.org/Homo_sapiens/Gene/Summary?g=ENSG00000177565", "ENSG00000177565")</f>
        <v>ENSG00000177565</v>
      </c>
      <c r="M1113" s="12" t="s">
        <v>13989</v>
      </c>
      <c r="N1113" s="12" t="s">
        <v>13990</v>
      </c>
    </row>
    <row r="1114" spans="1:14">
      <c r="A1114" s="12" t="s">
        <v>919</v>
      </c>
      <c r="B1114" s="8">
        <v>1313.93765369773</v>
      </c>
      <c r="C1114" s="12">
        <v>577.81076317641998</v>
      </c>
      <c r="D1114" s="8">
        <v>1.1852278383644901</v>
      </c>
      <c r="E1114" s="12">
        <v>2.4466236092194E-3</v>
      </c>
      <c r="F1114" s="8" t="s">
        <v>920</v>
      </c>
      <c r="G1114" s="12" t="s">
        <v>921</v>
      </c>
      <c r="H1114" s="12">
        <v>1</v>
      </c>
      <c r="I1114" s="13" t="str">
        <f>HYPERLINK("http://www.ncbi.nlm.nih.gov/gene/10269", "10269")</f>
        <v>10269</v>
      </c>
      <c r="J1114" s="13" t="str">
        <f>HYPERLINK("http://www.ncbi.nlm.nih.gov/nuccore/NM_005857", "NM_005857")</f>
        <v>NM_005857</v>
      </c>
      <c r="K1114" s="12" t="s">
        <v>922</v>
      </c>
      <c r="L1114" s="13" t="str">
        <f>HYPERLINK("http://asia.ensembl.org/Homo_sapiens/Gene/Summary?g=ENSG00000084073", "ENSG00000084073")</f>
        <v>ENSG00000084073</v>
      </c>
      <c r="M1114" s="12" t="s">
        <v>12167</v>
      </c>
      <c r="N1114" s="12" t="s">
        <v>923</v>
      </c>
    </row>
    <row r="1115" spans="1:14">
      <c r="A1115" s="12" t="s">
        <v>10107</v>
      </c>
      <c r="B1115" s="8">
        <v>244.80455771953399</v>
      </c>
      <c r="C1115" s="12">
        <v>107.671310750289</v>
      </c>
      <c r="D1115" s="8">
        <v>1.1849965261472399</v>
      </c>
      <c r="E1115" s="12">
        <v>1.50132684128214E-3</v>
      </c>
      <c r="F1115" s="8" t="s">
        <v>6612</v>
      </c>
      <c r="G1115" s="12" t="s">
        <v>6613</v>
      </c>
      <c r="H1115" s="12">
        <v>1</v>
      </c>
      <c r="I1115" s="13" t="str">
        <f>HYPERLINK("http://www.ncbi.nlm.nih.gov/gene/6049", "6049")</f>
        <v>6049</v>
      </c>
      <c r="J1115" s="12" t="s">
        <v>15298</v>
      </c>
      <c r="K1115" s="12" t="s">
        <v>15299</v>
      </c>
      <c r="L1115" s="13" t="str">
        <f>HYPERLINK("http://asia.ensembl.org/Homo_sapiens/Gene/Summary?g=ENSG00000127870", "ENSG00000127870")</f>
        <v>ENSG00000127870</v>
      </c>
      <c r="M1115" s="12" t="s">
        <v>15300</v>
      </c>
      <c r="N1115" s="12" t="s">
        <v>15301</v>
      </c>
    </row>
    <row r="1116" spans="1:14">
      <c r="A1116" s="12" t="s">
        <v>8913</v>
      </c>
      <c r="B1116" s="8">
        <v>139.47575902310501</v>
      </c>
      <c r="C1116" s="12">
        <v>61.350046054558902</v>
      </c>
      <c r="D1116" s="8">
        <v>1.1848780705019</v>
      </c>
      <c r="E1116" s="12">
        <v>3.2375926347962297E-2</v>
      </c>
      <c r="F1116" s="8" t="s">
        <v>8914</v>
      </c>
      <c r="G1116" s="12" t="s">
        <v>14937</v>
      </c>
      <c r="H1116" s="12">
        <v>1</v>
      </c>
      <c r="I1116" s="13" t="str">
        <f>HYPERLINK("http://www.ncbi.nlm.nih.gov/gene/147947", "147947")</f>
        <v>147947</v>
      </c>
      <c r="J1116" s="12" t="s">
        <v>14938</v>
      </c>
      <c r="K1116" s="12" t="s">
        <v>12796</v>
      </c>
      <c r="L1116" s="13" t="str">
        <f>HYPERLINK("http://asia.ensembl.org/Homo_sapiens/Gene/Summary?g=ENSG00000240225", "ENSG00000240225")</f>
        <v>ENSG00000240225</v>
      </c>
      <c r="M1116" s="12" t="s">
        <v>14939</v>
      </c>
    </row>
    <row r="1117" spans="1:14">
      <c r="A1117" s="12" t="s">
        <v>9195</v>
      </c>
      <c r="B1117" s="8">
        <v>3890.3754532599401</v>
      </c>
      <c r="C1117" s="12">
        <v>1711.3142892081801</v>
      </c>
      <c r="D1117" s="8">
        <v>1.18480465343066</v>
      </c>
      <c r="E1117" s="12">
        <v>1.2358163416061701E-2</v>
      </c>
      <c r="F1117" s="8" t="s">
        <v>9196</v>
      </c>
      <c r="G1117" s="12" t="s">
        <v>15014</v>
      </c>
      <c r="H1117" s="12">
        <v>1</v>
      </c>
      <c r="I1117" s="13" t="str">
        <f>HYPERLINK("http://www.ncbi.nlm.nih.gov/gene/5612", "5612")</f>
        <v>5612</v>
      </c>
      <c r="J1117" s="13" t="str">
        <f>HYPERLINK("http://www.ncbi.nlm.nih.gov/nuccore/NM_004705", "NM_004705")</f>
        <v>NM_004705</v>
      </c>
      <c r="K1117" s="12" t="s">
        <v>9197</v>
      </c>
      <c r="L1117" s="13" t="str">
        <f>HYPERLINK("http://asia.ensembl.org/Homo_sapiens/Gene/Summary?g=ENSG00000137492", "ENSG00000137492")</f>
        <v>ENSG00000137492</v>
      </c>
      <c r="M1117" s="12" t="s">
        <v>15015</v>
      </c>
      <c r="N1117" s="12" t="s">
        <v>15016</v>
      </c>
    </row>
    <row r="1118" spans="1:14">
      <c r="A1118" s="12" t="s">
        <v>4873</v>
      </c>
      <c r="B1118" s="8">
        <v>844.62700629668996</v>
      </c>
      <c r="C1118" s="12">
        <v>371.54816331159901</v>
      </c>
      <c r="D1118" s="8">
        <v>1.1847651393443599</v>
      </c>
      <c r="E1118" s="12">
        <v>2.3936376059899001E-2</v>
      </c>
      <c r="F1118" s="8" t="s">
        <v>4874</v>
      </c>
      <c r="G1118" s="12" t="s">
        <v>4875</v>
      </c>
      <c r="H1118" s="12">
        <v>1</v>
      </c>
      <c r="I1118" s="13" t="str">
        <f>HYPERLINK("http://www.ncbi.nlm.nih.gov/gene/4040", "4040")</f>
        <v>4040</v>
      </c>
      <c r="J1118" s="13" t="str">
        <f>HYPERLINK("http://www.ncbi.nlm.nih.gov/nuccore/NM_002336", "NM_002336")</f>
        <v>NM_002336</v>
      </c>
      <c r="K1118" s="12" t="s">
        <v>4876</v>
      </c>
      <c r="L1118" s="13" t="str">
        <f>HYPERLINK("http://asia.ensembl.org/Homo_sapiens/Gene/Summary?g=ENSG00000281324", "ENSG00000281324")</f>
        <v>ENSG00000281324</v>
      </c>
      <c r="M1118" s="12" t="s">
        <v>13444</v>
      </c>
      <c r="N1118" s="12" t="s">
        <v>13445</v>
      </c>
    </row>
    <row r="1119" spans="1:14">
      <c r="A1119" s="12" t="s">
        <v>10303</v>
      </c>
      <c r="B1119" s="8">
        <v>565.47896817961396</v>
      </c>
      <c r="C1119" s="12">
        <v>248.803663294887</v>
      </c>
      <c r="D1119" s="8">
        <v>1.1844656398121001</v>
      </c>
      <c r="E1119" s="12">
        <v>7.6702227987209401E-3</v>
      </c>
      <c r="F1119" s="8" t="s">
        <v>3820</v>
      </c>
      <c r="G1119" s="12" t="s">
        <v>1385</v>
      </c>
      <c r="H1119" s="12">
        <v>1</v>
      </c>
      <c r="I1119" s="13" t="str">
        <f>HYPERLINK("http://www.ncbi.nlm.nih.gov/gene/23143", "23143")</f>
        <v>23143</v>
      </c>
      <c r="J1119" s="13" t="str">
        <f>HYPERLINK("http://www.ncbi.nlm.nih.gov/nuccore/NM_001164213", "NM_001164213")</f>
        <v>NM_001164213</v>
      </c>
      <c r="K1119" s="12" t="s">
        <v>10304</v>
      </c>
      <c r="L1119" s="13" t="str">
        <f>HYPERLINK("http://asia.ensembl.org/Homo_sapiens/Gene/Summary?g=ENSG00000136141", "ENSG00000136141")</f>
        <v>ENSG00000136141</v>
      </c>
      <c r="M1119" s="12" t="s">
        <v>15385</v>
      </c>
      <c r="N1119" s="12" t="s">
        <v>15386</v>
      </c>
    </row>
    <row r="1120" spans="1:14">
      <c r="A1120" s="12" t="s">
        <v>6963</v>
      </c>
      <c r="B1120" s="8">
        <v>881.45675999916205</v>
      </c>
      <c r="C1120" s="12">
        <v>387.97212778799701</v>
      </c>
      <c r="D1120" s="8">
        <v>1.18393678781884</v>
      </c>
      <c r="E1120" s="12">
        <v>2.6843521920113102E-3</v>
      </c>
      <c r="F1120" s="8" t="s">
        <v>6964</v>
      </c>
      <c r="G1120" s="12" t="s">
        <v>6965</v>
      </c>
      <c r="H1120" s="12">
        <v>1</v>
      </c>
      <c r="I1120" s="13" t="str">
        <f>HYPERLINK("http://www.ncbi.nlm.nih.gov/gene/10179", "10179")</f>
        <v>10179</v>
      </c>
      <c r="J1120" s="13" t="str">
        <f>HYPERLINK("http://www.ncbi.nlm.nih.gov/nuccore/NM_016090", "NM_016090")</f>
        <v>NM_016090</v>
      </c>
      <c r="K1120" s="12" t="s">
        <v>6966</v>
      </c>
      <c r="L1120" s="13" t="str">
        <f>HYPERLINK("http://asia.ensembl.org/Homo_sapiens/Gene/Summary?g=ENSG00000076053", "ENSG00000076053")</f>
        <v>ENSG00000076053</v>
      </c>
      <c r="M1120" s="12" t="s">
        <v>14318</v>
      </c>
      <c r="N1120" s="12" t="s">
        <v>14319</v>
      </c>
    </row>
    <row r="1121" spans="1:14">
      <c r="A1121" s="12" t="s">
        <v>4667</v>
      </c>
      <c r="B1121" s="8">
        <v>4585.1575877906298</v>
      </c>
      <c r="C1121" s="12">
        <v>2018.19450948753</v>
      </c>
      <c r="D1121" s="8">
        <v>1.1839060936558301</v>
      </c>
      <c r="E1121" s="12">
        <v>2.5525108690402998E-3</v>
      </c>
      <c r="F1121" s="8" t="s">
        <v>4668</v>
      </c>
      <c r="G1121" s="12" t="s">
        <v>4669</v>
      </c>
      <c r="H1121" s="12">
        <v>1</v>
      </c>
      <c r="I1121" s="13" t="str">
        <f>HYPERLINK("http://www.ncbi.nlm.nih.gov/gene/9972", "9972")</f>
        <v>9972</v>
      </c>
      <c r="J1121" s="13" t="str">
        <f>HYPERLINK("http://www.ncbi.nlm.nih.gov/nuccore/NM_005124", "NM_005124")</f>
        <v>NM_005124</v>
      </c>
      <c r="K1121" s="12" t="s">
        <v>4670</v>
      </c>
      <c r="L1121" s="13" t="str">
        <f>HYPERLINK("http://asia.ensembl.org/Homo_sapiens/Gene/Summary?g=ENSG00000124789", "ENSG00000124789")</f>
        <v>ENSG00000124789</v>
      </c>
      <c r="M1121" s="12" t="s">
        <v>13336</v>
      </c>
      <c r="N1121" s="12" t="s">
        <v>13337</v>
      </c>
    </row>
    <row r="1122" spans="1:14">
      <c r="A1122" s="12" t="s">
        <v>11316</v>
      </c>
      <c r="B1122" s="8">
        <v>2924.4428151618599</v>
      </c>
      <c r="C1122" s="12">
        <v>1288.56165650548</v>
      </c>
      <c r="D1122" s="8">
        <v>1.18240020825865</v>
      </c>
      <c r="E1122" s="12">
        <v>6.3772838253508502E-3</v>
      </c>
      <c r="F1122" s="8" t="s">
        <v>6425</v>
      </c>
      <c r="G1122" s="12" t="s">
        <v>6426</v>
      </c>
      <c r="H1122" s="12">
        <v>1</v>
      </c>
      <c r="I1122" s="13" t="str">
        <f>HYPERLINK("http://www.ncbi.nlm.nih.gov/gene/197259", "197259")</f>
        <v>197259</v>
      </c>
      <c r="J1122" s="12" t="s">
        <v>16110</v>
      </c>
      <c r="K1122" s="12" t="s">
        <v>16111</v>
      </c>
      <c r="L1122" s="13" t="str">
        <f>HYPERLINK("http://asia.ensembl.org/Homo_sapiens/Gene/Summary?g=ENSG00000168404", "ENSG00000168404")</f>
        <v>ENSG00000168404</v>
      </c>
      <c r="M1122" s="12" t="s">
        <v>14176</v>
      </c>
      <c r="N1122" s="12" t="s">
        <v>14177</v>
      </c>
    </row>
    <row r="1123" spans="1:14">
      <c r="A1123" s="12" t="s">
        <v>2561</v>
      </c>
      <c r="B1123" s="8">
        <v>3457.5362687090201</v>
      </c>
      <c r="C1123" s="12">
        <v>1523.68074520294</v>
      </c>
      <c r="D1123" s="8">
        <v>1.18218373644764</v>
      </c>
      <c r="E1123" s="12">
        <v>6.9816041561238697E-3</v>
      </c>
      <c r="F1123" s="8" t="s">
        <v>2562</v>
      </c>
      <c r="G1123" s="12" t="s">
        <v>2563</v>
      </c>
      <c r="H1123" s="12">
        <v>1</v>
      </c>
      <c r="I1123" s="13" t="str">
        <f>HYPERLINK("http://www.ncbi.nlm.nih.gov/gene/6788", "6788")</f>
        <v>6788</v>
      </c>
      <c r="J1123" s="12" t="s">
        <v>12693</v>
      </c>
      <c r="K1123" s="12" t="s">
        <v>12694</v>
      </c>
      <c r="L1123" s="13" t="str">
        <f>HYPERLINK("http://asia.ensembl.org/Homo_sapiens/Gene/Summary?g=ENSG00000104375", "ENSG00000104375")</f>
        <v>ENSG00000104375</v>
      </c>
      <c r="M1123" s="12" t="s">
        <v>12695</v>
      </c>
      <c r="N1123" s="12" t="s">
        <v>12696</v>
      </c>
    </row>
    <row r="1124" spans="1:14">
      <c r="A1124" s="12" t="s">
        <v>11815</v>
      </c>
      <c r="B1124" s="8">
        <v>4362.5155045684696</v>
      </c>
      <c r="C1124" s="12">
        <v>1922.9729926667301</v>
      </c>
      <c r="D1124" s="8">
        <v>1.1818217579466199</v>
      </c>
      <c r="E1124" s="12">
        <v>1.80478387922518E-3</v>
      </c>
      <c r="F1124" s="8" t="s">
        <v>11816</v>
      </c>
      <c r="G1124" s="12" t="s">
        <v>11817</v>
      </c>
      <c r="H1124" s="12">
        <v>1</v>
      </c>
      <c r="I1124" s="13" t="str">
        <f>HYPERLINK("http://www.ncbi.nlm.nih.gov/gene/5471", "5471")</f>
        <v>5471</v>
      </c>
      <c r="J1124" s="13" t="str">
        <f>HYPERLINK("http://www.ncbi.nlm.nih.gov/nuccore/NM_002703", "NM_002703")</f>
        <v>NM_002703</v>
      </c>
      <c r="K1124" s="12" t="s">
        <v>11818</v>
      </c>
      <c r="L1124" s="13" t="str">
        <f>HYPERLINK("http://asia.ensembl.org/Homo_sapiens/Gene/Summary?g=ENSG00000128059", "ENSG00000128059")</f>
        <v>ENSG00000128059</v>
      </c>
      <c r="M1124" s="12" t="s">
        <v>16208</v>
      </c>
      <c r="N1124" s="12" t="s">
        <v>16209</v>
      </c>
    </row>
    <row r="1125" spans="1:14">
      <c r="A1125" s="12" t="s">
        <v>6709</v>
      </c>
      <c r="B1125" s="8">
        <v>2545.6050603991598</v>
      </c>
      <c r="C1125" s="12">
        <v>1122.28171106885</v>
      </c>
      <c r="D1125" s="8">
        <v>1.18157374725062</v>
      </c>
      <c r="E1125" s="12">
        <v>7.2884523497419498E-3</v>
      </c>
      <c r="F1125" s="8" t="s">
        <v>6710</v>
      </c>
      <c r="G1125" s="12" t="s">
        <v>6711</v>
      </c>
      <c r="H1125" s="12">
        <v>1</v>
      </c>
      <c r="I1125" s="13" t="str">
        <f>HYPERLINK("http://www.ncbi.nlm.nih.gov/gene/151011", "151011")</f>
        <v>151011</v>
      </c>
      <c r="J1125" s="12" t="s">
        <v>14244</v>
      </c>
      <c r="K1125" s="12" t="s">
        <v>14245</v>
      </c>
      <c r="L1125" s="13" t="str">
        <f>HYPERLINK("http://asia.ensembl.org/Homo_sapiens/Gene/Summary?g=ENSG00000186522", "ENSG00000186522")</f>
        <v>ENSG00000186522</v>
      </c>
      <c r="M1125" s="12" t="s">
        <v>14246</v>
      </c>
      <c r="N1125" s="12" t="s">
        <v>14247</v>
      </c>
    </row>
    <row r="1126" spans="1:14">
      <c r="A1126" s="12" t="s">
        <v>1220</v>
      </c>
      <c r="B1126" s="8">
        <v>172.91646550558499</v>
      </c>
      <c r="C1126" s="12">
        <v>76.239911149036601</v>
      </c>
      <c r="D1126" s="8">
        <v>1.18145690925192</v>
      </c>
      <c r="E1126" s="12">
        <v>1.43847896264831E-3</v>
      </c>
      <c r="F1126" s="8" t="s">
        <v>1221</v>
      </c>
      <c r="G1126" s="12" t="s">
        <v>1222</v>
      </c>
      <c r="H1126" s="12">
        <v>1</v>
      </c>
      <c r="I1126" s="13" t="str">
        <f>HYPERLINK("http://www.ncbi.nlm.nih.gov/gene/153733", "153733")</f>
        <v>153733</v>
      </c>
      <c r="J1126" s="12" t="s">
        <v>12266</v>
      </c>
      <c r="K1126" s="12" t="s">
        <v>12267</v>
      </c>
      <c r="L1126" s="13" t="str">
        <f>HYPERLINK("http://asia.ensembl.org/Homo_sapiens/Gene/Summary?g=ENSG00000164221", "ENSG00000164221")</f>
        <v>ENSG00000164221</v>
      </c>
      <c r="M1126" s="12" t="s">
        <v>12268</v>
      </c>
      <c r="N1126" s="12" t="s">
        <v>12269</v>
      </c>
    </row>
    <row r="1127" spans="1:14">
      <c r="A1127" s="12" t="s">
        <v>8044</v>
      </c>
      <c r="B1127" s="8">
        <v>135.55300668580799</v>
      </c>
      <c r="C1127" s="12">
        <v>59.777833087855697</v>
      </c>
      <c r="D1127" s="8">
        <v>1.1811746075757901</v>
      </c>
      <c r="E1127" s="12">
        <v>6.2820997801361703E-3</v>
      </c>
      <c r="F1127" s="8" t="s">
        <v>8045</v>
      </c>
      <c r="G1127" s="12" t="s">
        <v>8046</v>
      </c>
      <c r="H1127" s="12">
        <v>1</v>
      </c>
      <c r="I1127" s="13" t="str">
        <f>HYPERLINK("http://www.ncbi.nlm.nih.gov/gene/66036", "66036")</f>
        <v>66036</v>
      </c>
      <c r="J1127" s="13" t="str">
        <f>HYPERLINK("http://www.ncbi.nlm.nih.gov/nuccore/NM_015458", "NM_015458")</f>
        <v>NM_015458</v>
      </c>
      <c r="K1127" s="12" t="s">
        <v>8047</v>
      </c>
      <c r="L1127" s="13" t="str">
        <f>HYPERLINK("http://asia.ensembl.org/Homo_sapiens/Gene/Summary?g=ENSG00000104643", "ENSG00000104643")</f>
        <v>ENSG00000104643</v>
      </c>
      <c r="M1127" s="12" t="s">
        <v>14664</v>
      </c>
      <c r="N1127" s="12" t="s">
        <v>14665</v>
      </c>
    </row>
    <row r="1128" spans="1:14">
      <c r="A1128" s="12" t="s">
        <v>5923</v>
      </c>
      <c r="B1128" s="8">
        <v>2301.6861486413</v>
      </c>
      <c r="C1128" s="12">
        <v>1015.13193990327</v>
      </c>
      <c r="D1128" s="8">
        <v>1.1810238738733201</v>
      </c>
      <c r="E1128" s="12">
        <v>1.8905349293657601E-3</v>
      </c>
      <c r="F1128" s="8" t="s">
        <v>5924</v>
      </c>
      <c r="G1128" s="12" t="s">
        <v>5925</v>
      </c>
      <c r="H1128" s="12">
        <v>1</v>
      </c>
      <c r="I1128" s="13" t="str">
        <f>HYPERLINK("http://www.ncbi.nlm.nih.gov/gene/23332", "23332")</f>
        <v>23332</v>
      </c>
      <c r="J1128" s="12" t="s">
        <v>13964</v>
      </c>
      <c r="K1128" s="12" t="s">
        <v>13965</v>
      </c>
      <c r="L1128" s="13" t="str">
        <f>HYPERLINK("http://asia.ensembl.org/Homo_sapiens/Gene/Summary?g=ENSG00000074054", "ENSG00000074054")</f>
        <v>ENSG00000074054</v>
      </c>
      <c r="M1128" s="12" t="s">
        <v>13966</v>
      </c>
      <c r="N1128" s="12" t="s">
        <v>13967</v>
      </c>
    </row>
    <row r="1129" spans="1:14">
      <c r="A1129" s="12" t="s">
        <v>10103</v>
      </c>
      <c r="B1129" s="8">
        <v>460.47516054428701</v>
      </c>
      <c r="C1129" s="12">
        <v>203.12307803581001</v>
      </c>
      <c r="D1129" s="8">
        <v>1.1807691727629299</v>
      </c>
      <c r="E1129" s="12">
        <v>2.3735981462082701E-3</v>
      </c>
      <c r="F1129" s="8" t="s">
        <v>5083</v>
      </c>
      <c r="G1129" s="12" t="s">
        <v>5084</v>
      </c>
      <c r="H1129" s="12">
        <v>1</v>
      </c>
      <c r="I1129" s="13" t="str">
        <f>HYPERLINK("http://www.ncbi.nlm.nih.gov/gene/55680", "55680")</f>
        <v>55680</v>
      </c>
      <c r="J1129" s="13" t="str">
        <f>HYPERLINK("http://www.ncbi.nlm.nih.gov/nuccore/NM_001042417", "NM_001042417")</f>
        <v>NM_001042417</v>
      </c>
      <c r="K1129" s="12" t="s">
        <v>10104</v>
      </c>
      <c r="L1129" s="13" t="str">
        <f>HYPERLINK("http://asia.ensembl.org/Homo_sapiens/Gene/Summary?g=ENSG00000204130", "ENSG00000204130")</f>
        <v>ENSG00000204130</v>
      </c>
      <c r="M1129" s="12" t="s">
        <v>13576</v>
      </c>
      <c r="N1129" s="12" t="s">
        <v>13577</v>
      </c>
    </row>
    <row r="1130" spans="1:14">
      <c r="A1130" s="12" t="s">
        <v>5304</v>
      </c>
      <c r="B1130" s="8">
        <v>1727.1620064776</v>
      </c>
      <c r="C1130" s="12">
        <v>761.95292935359601</v>
      </c>
      <c r="D1130" s="8">
        <v>1.1806296317107701</v>
      </c>
      <c r="E1130" s="12">
        <v>7.0657841436972697E-3</v>
      </c>
      <c r="F1130" s="8" t="s">
        <v>5305</v>
      </c>
      <c r="G1130" s="12" t="s">
        <v>13676</v>
      </c>
      <c r="H1130" s="12">
        <v>1</v>
      </c>
      <c r="I1130" s="13" t="str">
        <f>HYPERLINK("http://www.ncbi.nlm.nih.gov/gene/79699", "79699")</f>
        <v>79699</v>
      </c>
      <c r="J1130" s="13" t="str">
        <f>HYPERLINK("http://www.ncbi.nlm.nih.gov/nuccore/NM_024646", "NM_024646")</f>
        <v>NM_024646</v>
      </c>
      <c r="K1130" s="12" t="s">
        <v>5306</v>
      </c>
      <c r="L1130" s="13" t="str">
        <f>HYPERLINK("http://asia.ensembl.org/Homo_sapiens/Gene/Summary?g=ENSG00000162378", "ENSG00000162378")</f>
        <v>ENSG00000162378</v>
      </c>
      <c r="M1130" s="12" t="s">
        <v>13677</v>
      </c>
      <c r="N1130" s="12" t="s">
        <v>13678</v>
      </c>
    </row>
    <row r="1131" spans="1:14">
      <c r="A1131" s="12" t="s">
        <v>9916</v>
      </c>
      <c r="B1131" s="8">
        <v>1997.7765885900001</v>
      </c>
      <c r="C1131" s="12">
        <v>881.92671607555405</v>
      </c>
      <c r="D1131" s="8">
        <v>1.17966457076019</v>
      </c>
      <c r="E1131" s="12">
        <v>7.5083913912427696E-3</v>
      </c>
      <c r="F1131" s="8" t="s">
        <v>2763</v>
      </c>
      <c r="G1131" s="12" t="s">
        <v>2764</v>
      </c>
      <c r="H1131" s="12">
        <v>1</v>
      </c>
      <c r="I1131" s="13" t="str">
        <f>HYPERLINK("http://www.ncbi.nlm.nih.gov/gene/6400", "6400")</f>
        <v>6400</v>
      </c>
      <c r="J1131" s="13" t="str">
        <f>HYPERLINK("http://www.ncbi.nlm.nih.gov/nuccore/NM_005065", "NM_005065")</f>
        <v>NM_005065</v>
      </c>
      <c r="K1131" s="12" t="s">
        <v>2765</v>
      </c>
      <c r="L1131" s="13" t="str">
        <f>HYPERLINK("http://asia.ensembl.org/Homo_sapiens/Gene/Summary?g=ENSG00000071537", "ENSG00000071537")</f>
        <v>ENSG00000071537</v>
      </c>
      <c r="M1131" s="12" t="s">
        <v>15241</v>
      </c>
      <c r="N1131" s="12" t="s">
        <v>15242</v>
      </c>
    </row>
    <row r="1132" spans="1:14">
      <c r="A1132" s="12" t="s">
        <v>8815</v>
      </c>
      <c r="B1132" s="8">
        <v>2739.37171137922</v>
      </c>
      <c r="C1132" s="12">
        <v>1209.3544632078899</v>
      </c>
      <c r="D1132" s="8">
        <v>1.1796078796198699</v>
      </c>
      <c r="E1132" s="12">
        <v>2.7991723907542002E-3</v>
      </c>
      <c r="F1132" s="8" t="s">
        <v>8816</v>
      </c>
      <c r="G1132" s="12" t="s">
        <v>14905</v>
      </c>
      <c r="H1132" s="12">
        <v>1</v>
      </c>
      <c r="I1132" s="13" t="str">
        <f>HYPERLINK("http://www.ncbi.nlm.nih.gov/gene/94239", "94239")</f>
        <v>94239</v>
      </c>
      <c r="J1132" s="13" t="str">
        <f>HYPERLINK("http://www.ncbi.nlm.nih.gov/nuccore/NM_138635", "NM_138635")</f>
        <v>NM_138635</v>
      </c>
      <c r="K1132" s="12" t="s">
        <v>8817</v>
      </c>
      <c r="L1132" s="13" t="str">
        <f>HYPERLINK("http://asia.ensembl.org/Homo_sapiens/Gene/Summary?g=ENSG00000105968", "ENSG00000105968")</f>
        <v>ENSG00000105968</v>
      </c>
      <c r="M1132" s="12" t="s">
        <v>14906</v>
      </c>
      <c r="N1132" s="12" t="s">
        <v>14907</v>
      </c>
    </row>
    <row r="1133" spans="1:14">
      <c r="A1133" s="12" t="s">
        <v>10503</v>
      </c>
      <c r="B1133" s="8">
        <v>1258.5014415272101</v>
      </c>
      <c r="C1133" s="12">
        <v>555.62919736133097</v>
      </c>
      <c r="D1133" s="8">
        <v>1.1795125514343601</v>
      </c>
      <c r="E1133" s="12">
        <v>4.9799625969878698E-3</v>
      </c>
      <c r="F1133" s="8" t="s">
        <v>8928</v>
      </c>
      <c r="G1133" s="12" t="s">
        <v>8929</v>
      </c>
      <c r="H1133" s="12">
        <v>1</v>
      </c>
      <c r="I1133" s="13" t="str">
        <f>HYPERLINK("http://www.ncbi.nlm.nih.gov/gene/84542", "84542")</f>
        <v>84542</v>
      </c>
      <c r="J1133" s="13" t="str">
        <f>HYPERLINK("http://www.ncbi.nlm.nih.gov/nuccore/NM_001129993", "NM_001129993")</f>
        <v>NM_001129993</v>
      </c>
      <c r="K1133" s="12" t="s">
        <v>8930</v>
      </c>
      <c r="L1133" s="13" t="str">
        <f>HYPERLINK("http://asia.ensembl.org/Homo_sapiens/Gene/Summary?g=ENSG00000162929", "ENSG00000162929")</f>
        <v>ENSG00000162929</v>
      </c>
      <c r="M1133" s="12" t="s">
        <v>15494</v>
      </c>
      <c r="N1133" s="12" t="s">
        <v>15495</v>
      </c>
    </row>
    <row r="1134" spans="1:14">
      <c r="A1134" s="12" t="s">
        <v>3425</v>
      </c>
      <c r="B1134" s="8">
        <v>2103.8265762669298</v>
      </c>
      <c r="C1134" s="12">
        <v>929.34336646805195</v>
      </c>
      <c r="D1134" s="8">
        <v>1.1787321487215801</v>
      </c>
      <c r="E1134" s="12">
        <v>1.9039508004911401E-2</v>
      </c>
      <c r="F1134" s="8" t="s">
        <v>3426</v>
      </c>
      <c r="G1134" s="12" t="s">
        <v>3427</v>
      </c>
      <c r="H1134" s="12">
        <v>1</v>
      </c>
      <c r="I1134" s="13" t="str">
        <f>HYPERLINK("http://www.ncbi.nlm.nih.gov/gene/79048", "79048")</f>
        <v>79048</v>
      </c>
      <c r="J1134" s="13" t="str">
        <f>HYPERLINK("http://www.ncbi.nlm.nih.gov/nuccore/NM_024077", "NM_024077")</f>
        <v>NM_024077</v>
      </c>
      <c r="K1134" s="12" t="s">
        <v>3428</v>
      </c>
      <c r="L1134" s="13" t="str">
        <f>HYPERLINK("http://asia.ensembl.org/Homo_sapiens/Gene/Summary?g=ENSG00000187742", "ENSG00000187742")</f>
        <v>ENSG00000187742</v>
      </c>
      <c r="M1134" s="12" t="s">
        <v>12976</v>
      </c>
      <c r="N1134" s="12" t="s">
        <v>12977</v>
      </c>
    </row>
    <row r="1135" spans="1:14">
      <c r="A1135" s="12" t="s">
        <v>5541</v>
      </c>
      <c r="B1135" s="8">
        <v>2049.1922937047798</v>
      </c>
      <c r="C1135" s="12">
        <v>905.29617249523403</v>
      </c>
      <c r="D1135" s="8">
        <v>1.17859361149696</v>
      </c>
      <c r="E1135" s="12">
        <v>1.4708623252045199E-2</v>
      </c>
      <c r="F1135" s="8" t="s">
        <v>5542</v>
      </c>
      <c r="G1135" s="12" t="s">
        <v>5543</v>
      </c>
      <c r="H1135" s="12">
        <v>1</v>
      </c>
      <c r="I1135" s="13" t="str">
        <f>HYPERLINK("http://www.ncbi.nlm.nih.gov/gene/80232", "80232")</f>
        <v>80232</v>
      </c>
      <c r="J1135" s="12" t="s">
        <v>13817</v>
      </c>
      <c r="K1135" s="12" t="s">
        <v>13818</v>
      </c>
      <c r="L1135" s="13" t="str">
        <f>HYPERLINK("http://asia.ensembl.org/Homo_sapiens/Gene/Summary?g=ENSG00000162923", "ENSG00000162923")</f>
        <v>ENSG00000162923</v>
      </c>
      <c r="M1135" s="12" t="s">
        <v>13819</v>
      </c>
      <c r="N1135" s="12" t="s">
        <v>13820</v>
      </c>
    </row>
    <row r="1136" spans="1:14">
      <c r="A1136" s="12" t="s">
        <v>11626</v>
      </c>
      <c r="B1136" s="8">
        <v>12654.894607589</v>
      </c>
      <c r="C1136" s="12">
        <v>5594.5469144388198</v>
      </c>
      <c r="D1136" s="8">
        <v>1.1776022909506301</v>
      </c>
      <c r="E1136" s="12">
        <v>1.16384951504898E-2</v>
      </c>
      <c r="F1136" s="8" t="s">
        <v>11627</v>
      </c>
      <c r="G1136" s="12" t="s">
        <v>11628</v>
      </c>
      <c r="H1136" s="12">
        <v>1</v>
      </c>
      <c r="I1136" s="13" t="str">
        <f>HYPERLINK("http://www.ncbi.nlm.nih.gov/gene/6767", "6767")</f>
        <v>6767</v>
      </c>
      <c r="J1136" s="12" t="s">
        <v>16170</v>
      </c>
      <c r="K1136" s="12" t="s">
        <v>16171</v>
      </c>
      <c r="L1136" s="13" t="str">
        <f>HYPERLINK("http://asia.ensembl.org/Homo_sapiens/Gene/Summary?g=ENSG00000100380", "ENSG00000100380")</f>
        <v>ENSG00000100380</v>
      </c>
      <c r="M1136" s="12" t="s">
        <v>16172</v>
      </c>
      <c r="N1136" s="12" t="s">
        <v>16173</v>
      </c>
    </row>
    <row r="1137" spans="1:14">
      <c r="A1137" s="12" t="s">
        <v>5289</v>
      </c>
      <c r="B1137" s="8">
        <v>2353.11398140952</v>
      </c>
      <c r="C1137" s="12">
        <v>1040.7675509799301</v>
      </c>
      <c r="D1137" s="8">
        <v>1.1769233167325299</v>
      </c>
      <c r="E1137" s="12">
        <v>9.0678227157610803E-3</v>
      </c>
      <c r="F1137" s="8" t="s">
        <v>5290</v>
      </c>
      <c r="G1137" s="12" t="s">
        <v>5291</v>
      </c>
      <c r="H1137" s="12">
        <v>1</v>
      </c>
      <c r="I1137" s="13" t="str">
        <f>HYPERLINK("http://www.ncbi.nlm.nih.gov/gene/6732", "6732")</f>
        <v>6732</v>
      </c>
      <c r="J1137" s="12" t="s">
        <v>13662</v>
      </c>
      <c r="K1137" s="12" t="s">
        <v>13663</v>
      </c>
      <c r="L1137" s="13" t="str">
        <f>HYPERLINK("http://asia.ensembl.org/Homo_sapiens/Gene/Summary?g=ENSG00000096063", "ENSG00000096063")</f>
        <v>ENSG00000096063</v>
      </c>
      <c r="M1137" s="12" t="s">
        <v>13664</v>
      </c>
      <c r="N1137" s="12" t="s">
        <v>13665</v>
      </c>
    </row>
    <row r="1138" spans="1:14">
      <c r="A1138" s="12" t="s">
        <v>843</v>
      </c>
      <c r="B1138" s="8">
        <v>1071.3722297899101</v>
      </c>
      <c r="C1138" s="12">
        <v>474.00916702193899</v>
      </c>
      <c r="D1138" s="8">
        <v>1.1764729414053801</v>
      </c>
      <c r="E1138" s="12">
        <v>7.3438499756802098E-3</v>
      </c>
      <c r="F1138" s="8" t="s">
        <v>844</v>
      </c>
      <c r="G1138" s="12" t="s">
        <v>845</v>
      </c>
      <c r="H1138" s="12">
        <v>1</v>
      </c>
      <c r="I1138" s="13" t="str">
        <f>HYPERLINK("http://www.ncbi.nlm.nih.gov/gene/10283", "10283")</f>
        <v>10283</v>
      </c>
      <c r="J1138" s="13" t="str">
        <f>HYPERLINK("http://www.ncbi.nlm.nih.gov/nuccore/NM_005869", "NM_005869")</f>
        <v>NM_005869</v>
      </c>
      <c r="K1138" s="12" t="s">
        <v>846</v>
      </c>
      <c r="L1138" s="13" t="str">
        <f>HYPERLINK("http://asia.ensembl.org/Homo_sapiens/Gene/Summary?g=ENSG00000153015", "ENSG00000153015")</f>
        <v>ENSG00000153015</v>
      </c>
      <c r="M1138" s="12" t="s">
        <v>12133</v>
      </c>
      <c r="N1138" s="12" t="s">
        <v>12134</v>
      </c>
    </row>
    <row r="1139" spans="1:14">
      <c r="A1139" s="12" t="s">
        <v>3013</v>
      </c>
      <c r="B1139" s="8">
        <v>662.19173547993705</v>
      </c>
      <c r="C1139" s="12">
        <v>293.02400750359698</v>
      </c>
      <c r="D1139" s="8">
        <v>1.17623013548884</v>
      </c>
      <c r="E1139" s="12">
        <v>7.0675159051305104E-4</v>
      </c>
      <c r="F1139" s="8" t="s">
        <v>3014</v>
      </c>
      <c r="G1139" s="12" t="s">
        <v>12866</v>
      </c>
      <c r="H1139" s="12">
        <v>1</v>
      </c>
      <c r="I1139" s="13" t="str">
        <f>HYPERLINK("http://www.ncbi.nlm.nih.gov/gene/55032", "55032")</f>
        <v>55032</v>
      </c>
      <c r="J1139" s="13" t="str">
        <f>HYPERLINK("http://www.ncbi.nlm.nih.gov/nuccore/NM_017945", "NM_017945")</f>
        <v>NM_017945</v>
      </c>
      <c r="K1139" s="12" t="s">
        <v>3015</v>
      </c>
      <c r="L1139" s="13" t="str">
        <f>HYPERLINK("http://asia.ensembl.org/Homo_sapiens/Gene/Summary?g=ENSG00000138459", "ENSG00000138459")</f>
        <v>ENSG00000138459</v>
      </c>
      <c r="M1139" s="12" t="s">
        <v>12867</v>
      </c>
      <c r="N1139" s="12" t="s">
        <v>12868</v>
      </c>
    </row>
    <row r="1140" spans="1:14">
      <c r="A1140" s="12" t="s">
        <v>5094</v>
      </c>
      <c r="B1140" s="8">
        <v>1640.1790657966401</v>
      </c>
      <c r="C1140" s="12">
        <v>725.92797619345902</v>
      </c>
      <c r="D1140" s="8">
        <v>1.1759550072789799</v>
      </c>
      <c r="E1140" s="12">
        <v>1.1352073946616201E-3</v>
      </c>
      <c r="F1140" s="8" t="s">
        <v>5095</v>
      </c>
      <c r="G1140" s="12" t="s">
        <v>5096</v>
      </c>
      <c r="H1140" s="12">
        <v>1</v>
      </c>
      <c r="I1140" s="13" t="str">
        <f>HYPERLINK("http://www.ncbi.nlm.nih.gov/gene/9735", "9735")</f>
        <v>9735</v>
      </c>
      <c r="J1140" s="13" t="str">
        <f>HYPERLINK("http://www.ncbi.nlm.nih.gov/nuccore/NM_014708", "NM_014708")</f>
        <v>NM_014708</v>
      </c>
      <c r="K1140" s="12" t="s">
        <v>5097</v>
      </c>
      <c r="L1140" s="13" t="str">
        <f>HYPERLINK("http://asia.ensembl.org/Homo_sapiens/Gene/Summary?g=ENSG00000184445", "ENSG00000184445")</f>
        <v>ENSG00000184445</v>
      </c>
      <c r="M1140" s="12" t="s">
        <v>13585</v>
      </c>
      <c r="N1140" s="12" t="s">
        <v>13586</v>
      </c>
    </row>
    <row r="1141" spans="1:14">
      <c r="A1141" s="12" t="s">
        <v>10084</v>
      </c>
      <c r="B1141" s="8">
        <v>893.68652805075396</v>
      </c>
      <c r="C1141" s="12">
        <v>395.58947429068502</v>
      </c>
      <c r="D1141" s="8">
        <v>1.1757648365785001</v>
      </c>
      <c r="E1141" s="12">
        <v>5.08930716101153E-3</v>
      </c>
      <c r="F1141" s="8" t="s">
        <v>5067</v>
      </c>
      <c r="G1141" s="12" t="s">
        <v>13559</v>
      </c>
      <c r="H1141" s="12">
        <v>1</v>
      </c>
      <c r="I1141" s="13" t="str">
        <f>HYPERLINK("http://www.ncbi.nlm.nih.gov/gene/6738", "6738")</f>
        <v>6738</v>
      </c>
      <c r="J1141" s="12" t="s">
        <v>13560</v>
      </c>
      <c r="K1141" s="12" t="s">
        <v>13561</v>
      </c>
      <c r="L1141" s="13" t="str">
        <f>HYPERLINK("http://asia.ensembl.org/Homo_sapiens/Gene/Summary?g=ENSG00000116747", "ENSG00000116747")</f>
        <v>ENSG00000116747</v>
      </c>
      <c r="M1141" s="12" t="s">
        <v>13562</v>
      </c>
      <c r="N1141" s="12" t="s">
        <v>13563</v>
      </c>
    </row>
    <row r="1142" spans="1:14">
      <c r="A1142" s="12" t="s">
        <v>9660</v>
      </c>
      <c r="B1142" s="8">
        <v>8430.0584894339499</v>
      </c>
      <c r="C1142" s="12">
        <v>3732.3669670632898</v>
      </c>
      <c r="D1142" s="8">
        <v>1.17545180168223</v>
      </c>
      <c r="E1142" s="12">
        <v>5.0221060141659403E-3</v>
      </c>
      <c r="F1142" s="8" t="s">
        <v>9661</v>
      </c>
      <c r="G1142" s="12" t="s">
        <v>9662</v>
      </c>
      <c r="H1142" s="12">
        <v>1</v>
      </c>
      <c r="I1142" s="13" t="str">
        <f>HYPERLINK("http://www.ncbi.nlm.nih.gov/gene/989", "989")</f>
        <v>989</v>
      </c>
      <c r="J1142" s="12" t="s">
        <v>15154</v>
      </c>
      <c r="K1142" s="12" t="s">
        <v>15155</v>
      </c>
      <c r="L1142" s="13" t="str">
        <f>HYPERLINK("http://asia.ensembl.org/Homo_sapiens/Gene/Summary?g=ENSG00000122545", "ENSG00000122545")</f>
        <v>ENSG00000122545</v>
      </c>
      <c r="M1142" s="12" t="s">
        <v>15156</v>
      </c>
      <c r="N1142" s="12" t="s">
        <v>15157</v>
      </c>
    </row>
    <row r="1143" spans="1:14">
      <c r="A1143" s="12" t="s">
        <v>10468</v>
      </c>
      <c r="B1143" s="8">
        <v>5041.5958287064004</v>
      </c>
      <c r="C1143" s="12">
        <v>2232.1719612949901</v>
      </c>
      <c r="D1143" s="8">
        <v>1.17543229252565</v>
      </c>
      <c r="E1143" s="12">
        <v>6.2707995391261999E-3</v>
      </c>
      <c r="F1143" s="8" t="s">
        <v>5920</v>
      </c>
      <c r="G1143" s="12" t="s">
        <v>5921</v>
      </c>
      <c r="H1143" s="12">
        <v>1</v>
      </c>
      <c r="I1143" s="13" t="str">
        <f>HYPERLINK("http://www.ncbi.nlm.nih.gov/gene/10206", "10206")</f>
        <v>10206</v>
      </c>
      <c r="J1143" s="12" t="s">
        <v>15437</v>
      </c>
      <c r="K1143" s="12" t="s">
        <v>15438</v>
      </c>
      <c r="L1143" s="13" t="str">
        <f>HYPERLINK("http://asia.ensembl.org/Homo_sapiens/Gene/Summary?g=ENSG00000204977", "ENSG00000204977")</f>
        <v>ENSG00000204977</v>
      </c>
      <c r="M1143" s="12" t="s">
        <v>15439</v>
      </c>
      <c r="N1143" s="12" t="s">
        <v>15440</v>
      </c>
    </row>
    <row r="1144" spans="1:14">
      <c r="A1144" s="12" t="s">
        <v>2706</v>
      </c>
      <c r="B1144" s="8">
        <v>2271.1290864324001</v>
      </c>
      <c r="C1144" s="12">
        <v>1005.82638959484</v>
      </c>
      <c r="D1144" s="8">
        <v>1.1750283976489799</v>
      </c>
      <c r="E1144" s="12">
        <v>5.2722865711972997E-3</v>
      </c>
      <c r="F1144" s="8" t="s">
        <v>2707</v>
      </c>
      <c r="G1144" s="12" t="s">
        <v>2708</v>
      </c>
      <c r="H1144" s="12">
        <v>1</v>
      </c>
      <c r="I1144" s="13" t="str">
        <f>HYPERLINK("http://www.ncbi.nlm.nih.gov/gene/5019", "5019")</f>
        <v>5019</v>
      </c>
      <c r="J1144" s="13" t="str">
        <f>HYPERLINK("http://www.ncbi.nlm.nih.gov/nuccore/NM_000436", "NM_000436")</f>
        <v>NM_000436</v>
      </c>
      <c r="K1144" s="12" t="s">
        <v>2709</v>
      </c>
      <c r="L1144" s="13" t="str">
        <f>HYPERLINK("http://asia.ensembl.org/Homo_sapiens/Gene/Summary?g=ENSG00000083720", "ENSG00000083720")</f>
        <v>ENSG00000083720</v>
      </c>
      <c r="M1144" s="12" t="s">
        <v>12752</v>
      </c>
      <c r="N1144" s="12" t="s">
        <v>12753</v>
      </c>
    </row>
    <row r="1145" spans="1:14">
      <c r="A1145" s="12" t="s">
        <v>2088</v>
      </c>
      <c r="B1145" s="8">
        <v>525.730937047005</v>
      </c>
      <c r="C1145" s="12">
        <v>232.855826831961</v>
      </c>
      <c r="D1145" s="8">
        <v>1.1748876502552701</v>
      </c>
      <c r="E1145" s="12">
        <v>2.5657473503935E-4</v>
      </c>
      <c r="F1145" s="8" t="s">
        <v>2089</v>
      </c>
      <c r="G1145" s="12" t="s">
        <v>2090</v>
      </c>
      <c r="H1145" s="12">
        <v>1</v>
      </c>
      <c r="I1145" s="13" t="str">
        <f>HYPERLINK("http://www.ncbi.nlm.nih.gov/gene/26548", "26548")</f>
        <v>26548</v>
      </c>
      <c r="J1145" s="13" t="str">
        <f>HYPERLINK("http://www.ncbi.nlm.nih.gov/nuccore/NM_012278", "NM_012278")</f>
        <v>NM_012278</v>
      </c>
      <c r="K1145" s="12" t="s">
        <v>2091</v>
      </c>
      <c r="L1145" s="13" t="str">
        <f>HYPERLINK("http://asia.ensembl.org/Homo_sapiens/Gene/Summary?g=ENSG00000147166", "ENSG00000147166")</f>
        <v>ENSG00000147166</v>
      </c>
      <c r="M1145" s="12" t="s">
        <v>12543</v>
      </c>
      <c r="N1145" s="12" t="s">
        <v>12544</v>
      </c>
    </row>
    <row r="1146" spans="1:14">
      <c r="A1146" s="12" t="s">
        <v>950</v>
      </c>
      <c r="B1146" s="8">
        <v>1711.12289519653</v>
      </c>
      <c r="C1146" s="12">
        <v>757.999597247358</v>
      </c>
      <c r="D1146" s="8">
        <v>1.1746743929347101</v>
      </c>
      <c r="E1146" s="12">
        <v>1.06724175515797E-2</v>
      </c>
      <c r="F1146" s="8" t="s">
        <v>951</v>
      </c>
      <c r="G1146" s="12" t="s">
        <v>952</v>
      </c>
      <c r="H1146" s="12">
        <v>1</v>
      </c>
      <c r="I1146" s="13" t="str">
        <f>HYPERLINK("http://www.ncbi.nlm.nih.gov/gene/55781", "55781")</f>
        <v>55781</v>
      </c>
      <c r="J1146" s="13" t="str">
        <f>HYPERLINK("http://www.ncbi.nlm.nih.gov/nuccore/NM_018343", "NM_018343")</f>
        <v>NM_018343</v>
      </c>
      <c r="K1146" s="12" t="s">
        <v>953</v>
      </c>
      <c r="L1146" s="13" t="str">
        <f>HYPERLINK("http://asia.ensembl.org/Homo_sapiens/Gene/Summary?g=ENSG00000058729", "ENSG00000058729")</f>
        <v>ENSG00000058729</v>
      </c>
      <c r="M1146" s="12" t="s">
        <v>12172</v>
      </c>
      <c r="N1146" s="12" t="s">
        <v>12173</v>
      </c>
    </row>
    <row r="1147" spans="1:14">
      <c r="A1147" s="12" t="s">
        <v>2209</v>
      </c>
      <c r="B1147" s="8">
        <v>134.243285084874</v>
      </c>
      <c r="C1147" s="12">
        <v>59.469798230479498</v>
      </c>
      <c r="D1147" s="8">
        <v>1.17462083965029</v>
      </c>
      <c r="E1147" s="12">
        <v>2.0607230588170398E-2</v>
      </c>
      <c r="F1147" s="8" t="s">
        <v>2210</v>
      </c>
      <c r="G1147" s="12" t="s">
        <v>2211</v>
      </c>
      <c r="H1147" s="12">
        <v>1</v>
      </c>
      <c r="I1147" s="13" t="str">
        <f>HYPERLINK("http://www.ncbi.nlm.nih.gov/gene/100505768", "100505768")</f>
        <v>100505768</v>
      </c>
      <c r="J1147" s="13" t="str">
        <f>HYPERLINK("http://www.ncbi.nlm.nih.gov/nuccore/NR_038324", "NR_038324")</f>
        <v>NR_038324</v>
      </c>
      <c r="K1147" s="12" t="s">
        <v>199</v>
      </c>
      <c r="L1147" s="13" t="str">
        <f>HYPERLINK("http://asia.ensembl.org/Homo_sapiens/Gene/Summary?g=ENSG00000227290", "ENSG00000227290")</f>
        <v>ENSG00000227290</v>
      </c>
      <c r="M1147" s="12" t="s">
        <v>2212</v>
      </c>
    </row>
    <row r="1148" spans="1:14">
      <c r="A1148" s="12" t="s">
        <v>11147</v>
      </c>
      <c r="B1148" s="8">
        <v>4222.1007251998999</v>
      </c>
      <c r="C1148" s="12">
        <v>1870.49056257198</v>
      </c>
      <c r="D1148" s="8">
        <v>1.17454431008215</v>
      </c>
      <c r="E1148" s="12">
        <v>4.00989340702984E-3</v>
      </c>
      <c r="F1148" s="8" t="s">
        <v>5000</v>
      </c>
      <c r="G1148" s="12" t="s">
        <v>5001</v>
      </c>
      <c r="H1148" s="12">
        <v>1</v>
      </c>
      <c r="I1148" s="13" t="str">
        <f>HYPERLINK("http://www.ncbi.nlm.nih.gov/gene/9209", "9209")</f>
        <v>9209</v>
      </c>
      <c r="J1148" s="12" t="s">
        <v>15365</v>
      </c>
      <c r="K1148" s="12" t="s">
        <v>15366</v>
      </c>
      <c r="L1148" s="13" t="str">
        <f>HYPERLINK("http://asia.ensembl.org/Homo_sapiens/Gene/Summary?g=ENSG00000093167", "ENSG00000093167")</f>
        <v>ENSG00000093167</v>
      </c>
      <c r="M1148" s="12" t="s">
        <v>15367</v>
      </c>
      <c r="N1148" s="12" t="s">
        <v>15368</v>
      </c>
    </row>
    <row r="1149" spans="1:14">
      <c r="A1149" s="12" t="s">
        <v>5052</v>
      </c>
      <c r="B1149" s="8">
        <v>943.46677512045699</v>
      </c>
      <c r="C1149" s="12">
        <v>418.17761595751699</v>
      </c>
      <c r="D1149" s="8">
        <v>1.17385587315159</v>
      </c>
      <c r="E1149" s="12">
        <v>2.9388835135440799E-4</v>
      </c>
      <c r="F1149" s="8" t="s">
        <v>5053</v>
      </c>
      <c r="G1149" s="12" t="s">
        <v>5054</v>
      </c>
      <c r="H1149" s="12">
        <v>1</v>
      </c>
      <c r="I1149" s="13" t="str">
        <f>HYPERLINK("http://www.ncbi.nlm.nih.gov/gene/60487", "60487")</f>
        <v>60487</v>
      </c>
      <c r="J1149" s="13" t="str">
        <f>HYPERLINK("http://www.ncbi.nlm.nih.gov/nuccore/NM_001031712", "NM_001031712")</f>
        <v>NM_001031712</v>
      </c>
      <c r="K1149" s="12" t="s">
        <v>5055</v>
      </c>
      <c r="L1149" s="13" t="str">
        <f>HYPERLINK("http://asia.ensembl.org/Homo_sapiens/Gene/Summary?g=ENSG00000066651", "ENSG00000066651")</f>
        <v>ENSG00000066651</v>
      </c>
      <c r="M1149" s="12" t="s">
        <v>13557</v>
      </c>
      <c r="N1149" s="12" t="s">
        <v>13558</v>
      </c>
    </row>
    <row r="1150" spans="1:14">
      <c r="A1150" s="12" t="s">
        <v>10771</v>
      </c>
      <c r="B1150" s="8">
        <v>26575.1071955232</v>
      </c>
      <c r="C1150" s="12">
        <v>11780.361188176201</v>
      </c>
      <c r="D1150" s="8">
        <v>1.1736917379823</v>
      </c>
      <c r="E1150" s="12">
        <v>6.9579532696626102E-3</v>
      </c>
      <c r="F1150" s="8" t="s">
        <v>2694</v>
      </c>
      <c r="G1150" s="12" t="s">
        <v>2695</v>
      </c>
      <c r="H1150" s="12">
        <v>1</v>
      </c>
      <c r="I1150" s="13" t="str">
        <f>HYPERLINK("http://www.ncbi.nlm.nih.gov/gene/440026", "440026")</f>
        <v>440026</v>
      </c>
      <c r="J1150" s="13" t="str">
        <f>HYPERLINK("http://www.ncbi.nlm.nih.gov/nuccore/NM_015012", "NM_015012")</f>
        <v>NM_015012</v>
      </c>
      <c r="K1150" s="12" t="s">
        <v>10772</v>
      </c>
      <c r="L1150" s="13" t="str">
        <f>HYPERLINK("http://asia.ensembl.org/Homo_sapiens/Gene/Summary?g=ENSG00000166471", "ENSG00000166471")</f>
        <v>ENSG00000166471</v>
      </c>
      <c r="M1150" s="12" t="s">
        <v>12750</v>
      </c>
      <c r="N1150" s="12" t="s">
        <v>12751</v>
      </c>
    </row>
    <row r="1151" spans="1:14">
      <c r="A1151" s="12" t="s">
        <v>5713</v>
      </c>
      <c r="B1151" s="8">
        <v>12747.4169011746</v>
      </c>
      <c r="C1151" s="12">
        <v>5651.1406880432096</v>
      </c>
      <c r="D1151" s="8">
        <v>1.1735909218668601</v>
      </c>
      <c r="E1151" s="12">
        <v>2.8037997798405802E-3</v>
      </c>
      <c r="F1151" s="14" t="s">
        <v>5714</v>
      </c>
      <c r="G1151" s="12" t="s">
        <v>5715</v>
      </c>
      <c r="H1151" s="12">
        <v>1</v>
      </c>
      <c r="I1151" s="13" t="str">
        <f>HYPERLINK("http://www.ncbi.nlm.nih.gov/gene/2335", "2335")</f>
        <v>2335</v>
      </c>
      <c r="J1151" s="12" t="s">
        <v>13893</v>
      </c>
      <c r="K1151" s="12" t="s">
        <v>13894</v>
      </c>
      <c r="L1151" s="13" t="str">
        <f>HYPERLINK("http://asia.ensembl.org/Homo_sapiens/Gene/Summary?g=ENSG00000115414", "ENSG00000115414")</f>
        <v>ENSG00000115414</v>
      </c>
      <c r="M1151" s="12" t="s">
        <v>13895</v>
      </c>
      <c r="N1151" s="12" t="s">
        <v>13896</v>
      </c>
    </row>
    <row r="1152" spans="1:14">
      <c r="A1152" s="12" t="s">
        <v>3347</v>
      </c>
      <c r="B1152" s="8">
        <v>1037.1182809437901</v>
      </c>
      <c r="C1152" s="12">
        <v>459.86884537588998</v>
      </c>
      <c r="D1152" s="8">
        <v>1.1732860713436</v>
      </c>
      <c r="E1152" s="12">
        <v>1.31877537359152E-2</v>
      </c>
      <c r="F1152" s="8" t="s">
        <v>3348</v>
      </c>
      <c r="G1152" s="12" t="s">
        <v>3349</v>
      </c>
      <c r="H1152" s="12">
        <v>1</v>
      </c>
      <c r="I1152" s="13" t="str">
        <f>HYPERLINK("http://www.ncbi.nlm.nih.gov/gene/83733", "83733")</f>
        <v>83733</v>
      </c>
      <c r="J1152" s="13" t="str">
        <f>HYPERLINK("http://www.ncbi.nlm.nih.gov/nuccore/NM_031481", "NM_031481")</f>
        <v>NM_031481</v>
      </c>
      <c r="K1152" s="12" t="s">
        <v>3350</v>
      </c>
      <c r="L1152" s="13" t="str">
        <f>HYPERLINK("http://asia.ensembl.org/Homo_sapiens/Gene/Summary?g=ENSG00000182902", "ENSG00000182902")</f>
        <v>ENSG00000182902</v>
      </c>
      <c r="M1152" s="12" t="s">
        <v>12950</v>
      </c>
      <c r="N1152" s="12" t="s">
        <v>12951</v>
      </c>
    </row>
    <row r="1153" spans="1:14">
      <c r="A1153" s="12" t="s">
        <v>1838</v>
      </c>
      <c r="B1153" s="8">
        <v>453.38768835208401</v>
      </c>
      <c r="C1153" s="12">
        <v>201.07752932977101</v>
      </c>
      <c r="D1153" s="8">
        <v>1.1729933478871799</v>
      </c>
      <c r="E1153" s="12">
        <v>2.08912621630843E-2</v>
      </c>
      <c r="F1153" s="8" t="s">
        <v>1839</v>
      </c>
      <c r="G1153" s="12" t="s">
        <v>12441</v>
      </c>
      <c r="H1153" s="12">
        <v>1</v>
      </c>
      <c r="I1153" s="13" t="str">
        <f>HYPERLINK("http://www.ncbi.nlm.nih.gov/gene/91801", "91801")</f>
        <v>91801</v>
      </c>
      <c r="J1153" s="13" t="str">
        <f>HYPERLINK("http://www.ncbi.nlm.nih.gov/nuccore/NM_138775", "NM_138775")</f>
        <v>NM_138775</v>
      </c>
      <c r="K1153" s="12" t="s">
        <v>1840</v>
      </c>
      <c r="L1153" s="13" t="str">
        <f>HYPERLINK("http://asia.ensembl.org/Homo_sapiens/Gene/Summary?g=ENSG00000137760", "ENSG00000137760")</f>
        <v>ENSG00000137760</v>
      </c>
      <c r="M1153" s="12" t="s">
        <v>12442</v>
      </c>
      <c r="N1153" s="12" t="s">
        <v>12443</v>
      </c>
    </row>
    <row r="1154" spans="1:14">
      <c r="A1154" s="12" t="s">
        <v>8828</v>
      </c>
      <c r="B1154" s="8">
        <v>112.736913824383</v>
      </c>
      <c r="C1154" s="12">
        <v>50</v>
      </c>
      <c r="D1154" s="8">
        <v>1.1729599793223</v>
      </c>
      <c r="E1154" s="12">
        <v>1.0259031881498101E-3</v>
      </c>
      <c r="F1154" s="8" t="s">
        <v>6289</v>
      </c>
      <c r="G1154" s="12" t="s">
        <v>14910</v>
      </c>
      <c r="H1154" s="12">
        <v>1</v>
      </c>
      <c r="I1154" s="13" t="str">
        <f>HYPERLINK("http://www.ncbi.nlm.nih.gov/gene/84570", "84570")</f>
        <v>84570</v>
      </c>
      <c r="J1154" s="12" t="s">
        <v>14911</v>
      </c>
      <c r="K1154" s="12" t="s">
        <v>14912</v>
      </c>
      <c r="L1154" s="13" t="str">
        <f>HYPERLINK("http://asia.ensembl.org/Homo_sapiens/Gene/Summary?g=ENSG00000188517", "ENSG00000188517")</f>
        <v>ENSG00000188517</v>
      </c>
      <c r="M1154" s="12" t="s">
        <v>14913</v>
      </c>
      <c r="N1154" s="12" t="s">
        <v>14914</v>
      </c>
    </row>
    <row r="1155" spans="1:14">
      <c r="A1155" s="12" t="s">
        <v>1331</v>
      </c>
      <c r="B1155" s="8">
        <v>794.542592011686</v>
      </c>
      <c r="C1155" s="12">
        <v>352.80153293498398</v>
      </c>
      <c r="D1155" s="8">
        <v>1.1712677288546101</v>
      </c>
      <c r="E1155" s="12">
        <v>7.9629988100745792E-3</v>
      </c>
      <c r="F1155" s="8" t="s">
        <v>1332</v>
      </c>
      <c r="G1155" s="12" t="s">
        <v>1333</v>
      </c>
      <c r="H1155" s="12">
        <v>1</v>
      </c>
      <c r="I1155" s="13" t="str">
        <f>HYPERLINK("http://www.ncbi.nlm.nih.gov/gene/55212", "55212")</f>
        <v>55212</v>
      </c>
      <c r="J1155" s="13" t="str">
        <f>HYPERLINK("http://www.ncbi.nlm.nih.gov/nuccore/NM_176824", "NM_176824")</f>
        <v>NM_176824</v>
      </c>
      <c r="K1155" s="12" t="s">
        <v>1334</v>
      </c>
      <c r="L1155" s="13" t="str">
        <f>HYPERLINK("http://asia.ensembl.org/Homo_sapiens/Gene/Summary?g=ENSG00000138686", "ENSG00000138686")</f>
        <v>ENSG00000138686</v>
      </c>
      <c r="M1155" s="12" t="s">
        <v>12305</v>
      </c>
      <c r="N1155" s="12" t="s">
        <v>12306</v>
      </c>
    </row>
    <row r="1156" spans="1:14">
      <c r="A1156" s="12" t="s">
        <v>11273</v>
      </c>
      <c r="B1156" s="8">
        <v>757.88711396183999</v>
      </c>
      <c r="C1156" s="12">
        <v>336.61538344118799</v>
      </c>
      <c r="D1156" s="8">
        <v>1.17088186750235</v>
      </c>
      <c r="E1156" s="12">
        <v>1.85392989921669E-2</v>
      </c>
      <c r="F1156" s="8" t="s">
        <v>38</v>
      </c>
      <c r="G1156" s="12" t="s">
        <v>38</v>
      </c>
      <c r="H1156" s="12">
        <v>1</v>
      </c>
      <c r="I1156" s="12" t="s">
        <v>38</v>
      </c>
      <c r="J1156" s="12" t="s">
        <v>38</v>
      </c>
      <c r="K1156" s="12" t="s">
        <v>38</v>
      </c>
      <c r="L1156" s="13" t="str">
        <f>HYPERLINK("http://asia.ensembl.org/Homo_sapiens/Gene/Summary?g=ENSG00000168273", "ENSG00000168273")</f>
        <v>ENSG00000168273</v>
      </c>
      <c r="M1156" s="12" t="s">
        <v>11274</v>
      </c>
      <c r="N1156" s="12" t="s">
        <v>16083</v>
      </c>
    </row>
    <row r="1157" spans="1:14">
      <c r="A1157" s="12" t="s">
        <v>10105</v>
      </c>
      <c r="B1157" s="8">
        <v>3172.58561992143</v>
      </c>
      <c r="C1157" s="12">
        <v>1409.3558857938399</v>
      </c>
      <c r="D1157" s="8">
        <v>1.17062313708165</v>
      </c>
      <c r="E1157" s="12">
        <v>1.9780220020885201E-4</v>
      </c>
      <c r="F1157" s="8" t="s">
        <v>8385</v>
      </c>
      <c r="G1157" s="12" t="s">
        <v>8386</v>
      </c>
      <c r="H1157" s="12">
        <v>1</v>
      </c>
      <c r="I1157" s="13" t="str">
        <f>HYPERLINK("http://www.ncbi.nlm.nih.gov/gene/6453", "6453")</f>
        <v>6453</v>
      </c>
      <c r="J1157" s="13" t="str">
        <f>HYPERLINK("http://www.ncbi.nlm.nih.gov/nuccore/NM_001001132", "NM_001001132")</f>
        <v>NM_001001132</v>
      </c>
      <c r="K1157" s="12" t="s">
        <v>10106</v>
      </c>
      <c r="L1157" s="13" t="str">
        <f>HYPERLINK("http://asia.ensembl.org/Homo_sapiens/Gene/Summary?g=ENSG00000205726", "ENSG00000205726")</f>
        <v>ENSG00000205726</v>
      </c>
      <c r="M1157" s="12" t="s">
        <v>15296</v>
      </c>
      <c r="N1157" s="12" t="s">
        <v>15297</v>
      </c>
    </row>
    <row r="1158" spans="1:14">
      <c r="A1158" s="12" t="s">
        <v>5415</v>
      </c>
      <c r="B1158" s="8">
        <v>2162.3534762755698</v>
      </c>
      <c r="C1158" s="12">
        <v>960.93642603747901</v>
      </c>
      <c r="D1158" s="8">
        <v>1.17008948432122</v>
      </c>
      <c r="E1158" s="12">
        <v>2.7785818153865998E-3</v>
      </c>
      <c r="F1158" s="8" t="s">
        <v>5416</v>
      </c>
      <c r="G1158" s="12" t="s">
        <v>5417</v>
      </c>
      <c r="H1158" s="12">
        <v>1</v>
      </c>
      <c r="I1158" s="13" t="str">
        <f>HYPERLINK("http://www.ncbi.nlm.nih.gov/gene/7320", "7320")</f>
        <v>7320</v>
      </c>
      <c r="J1158" s="13" t="str">
        <f>HYPERLINK("http://www.ncbi.nlm.nih.gov/nuccore/NM_003337", "NM_003337")</f>
        <v>NM_003337</v>
      </c>
      <c r="K1158" s="12" t="s">
        <v>5418</v>
      </c>
      <c r="L1158" s="13" t="str">
        <f>HYPERLINK("http://asia.ensembl.org/Homo_sapiens/Gene/Summary?g=ENSG00000119048", "ENSG00000119048")</f>
        <v>ENSG00000119048</v>
      </c>
      <c r="M1158" s="12" t="s">
        <v>13740</v>
      </c>
      <c r="N1158" s="12" t="s">
        <v>13741</v>
      </c>
    </row>
    <row r="1159" spans="1:14">
      <c r="A1159" s="12" t="s">
        <v>4517</v>
      </c>
      <c r="B1159" s="8">
        <v>945.27196342868399</v>
      </c>
      <c r="C1159" s="12">
        <v>420.11072677509401</v>
      </c>
      <c r="D1159" s="8">
        <v>1.16995984274497</v>
      </c>
      <c r="E1159" s="12">
        <v>5.3629166547799199E-4</v>
      </c>
      <c r="F1159" s="8" t="s">
        <v>4518</v>
      </c>
      <c r="G1159" s="12" t="s">
        <v>4519</v>
      </c>
      <c r="H1159" s="12">
        <v>1</v>
      </c>
      <c r="I1159" s="13" t="str">
        <f>HYPERLINK("http://www.ncbi.nlm.nih.gov/gene/79768", "79768")</f>
        <v>79768</v>
      </c>
      <c r="J1159" s="13" t="str">
        <f>HYPERLINK("http://www.ncbi.nlm.nih.gov/nuccore/NM_024713", "NM_024713")</f>
        <v>NM_024713</v>
      </c>
      <c r="K1159" s="12" t="s">
        <v>4520</v>
      </c>
      <c r="L1159" s="13" t="str">
        <f>HYPERLINK("http://asia.ensembl.org/Homo_sapiens/Gene/Summary?g=ENSG00000134152", "ENSG00000134152")</f>
        <v>ENSG00000134152</v>
      </c>
      <c r="M1159" s="12" t="s">
        <v>13272</v>
      </c>
      <c r="N1159" s="12" t="s">
        <v>13273</v>
      </c>
    </row>
    <row r="1160" spans="1:14">
      <c r="A1160" s="12" t="s">
        <v>9646</v>
      </c>
      <c r="B1160" s="8">
        <v>1060.4837761223</v>
      </c>
      <c r="C1160" s="12">
        <v>471.898336415931</v>
      </c>
      <c r="D1160" s="8">
        <v>1.1681745592156501</v>
      </c>
      <c r="E1160" s="12">
        <v>2.7565066878573801E-3</v>
      </c>
      <c r="F1160" s="8" t="s">
        <v>9647</v>
      </c>
      <c r="G1160" s="12" t="s">
        <v>9648</v>
      </c>
      <c r="H1160" s="12">
        <v>1</v>
      </c>
      <c r="I1160" s="13" t="str">
        <f>HYPERLINK("http://www.ncbi.nlm.nih.gov/gene/54516", "54516")</f>
        <v>54516</v>
      </c>
      <c r="J1160" s="12" t="s">
        <v>15142</v>
      </c>
      <c r="K1160" s="12" t="s">
        <v>15143</v>
      </c>
      <c r="L1160" s="13" t="str">
        <f>HYPERLINK("http://asia.ensembl.org/Homo_sapiens/Gene/Summary?g=ENSG00000112031", "ENSG00000112031")</f>
        <v>ENSG00000112031</v>
      </c>
      <c r="M1160" s="12" t="s">
        <v>15144</v>
      </c>
      <c r="N1160" s="12" t="s">
        <v>15145</v>
      </c>
    </row>
    <row r="1161" spans="1:14">
      <c r="A1161" s="12" t="s">
        <v>2996</v>
      </c>
      <c r="B1161" s="8">
        <v>471.44692343324601</v>
      </c>
      <c r="C1161" s="12">
        <v>209.803218822589</v>
      </c>
      <c r="D1161" s="8">
        <v>1.16805854609321</v>
      </c>
      <c r="E1161" s="12">
        <v>1.86138801371169E-2</v>
      </c>
      <c r="F1161" s="8" t="s">
        <v>2997</v>
      </c>
      <c r="G1161" s="12" t="s">
        <v>12857</v>
      </c>
      <c r="H1161" s="12">
        <v>1</v>
      </c>
      <c r="I1161" s="13" t="str">
        <f>HYPERLINK("http://www.ncbi.nlm.nih.gov/gene/83540", "83540")</f>
        <v>83540</v>
      </c>
      <c r="J1161" s="12" t="s">
        <v>12858</v>
      </c>
      <c r="K1161" s="12" t="s">
        <v>12859</v>
      </c>
      <c r="L1161" s="13" t="str">
        <f>HYPERLINK("http://asia.ensembl.org/Homo_sapiens/Gene/Summary?g=ENSG00000143228", "ENSG00000143228")</f>
        <v>ENSG00000143228</v>
      </c>
      <c r="M1161" s="12" t="s">
        <v>12860</v>
      </c>
      <c r="N1161" s="12" t="s">
        <v>12861</v>
      </c>
    </row>
    <row r="1162" spans="1:14">
      <c r="A1162" s="12" t="s">
        <v>11002</v>
      </c>
      <c r="B1162" s="8">
        <v>1948.75062032194</v>
      </c>
      <c r="C1162" s="12">
        <v>867.72973105206199</v>
      </c>
      <c r="D1162" s="8">
        <v>1.1672318159285899</v>
      </c>
      <c r="E1162" s="12">
        <v>2.18711097647334E-3</v>
      </c>
      <c r="F1162" s="8" t="s">
        <v>11003</v>
      </c>
      <c r="G1162" s="12" t="s">
        <v>15958</v>
      </c>
      <c r="H1162" s="12">
        <v>4</v>
      </c>
      <c r="I1162" s="12" t="s">
        <v>11004</v>
      </c>
      <c r="J1162" s="12" t="s">
        <v>11005</v>
      </c>
      <c r="K1162" s="12" t="s">
        <v>11006</v>
      </c>
      <c r="L1162" s="13" t="str">
        <f>HYPERLINK("http://asia.ensembl.org/Homo_sapiens/Gene/Summary?g=ENSG00000176809", "ENSG00000176809")</f>
        <v>ENSG00000176809</v>
      </c>
      <c r="M1162" s="12" t="s">
        <v>15959</v>
      </c>
      <c r="N1162" s="12" t="s">
        <v>15960</v>
      </c>
    </row>
    <row r="1163" spans="1:14">
      <c r="A1163" s="12" t="s">
        <v>8224</v>
      </c>
      <c r="B1163" s="8">
        <v>302.327544339307</v>
      </c>
      <c r="C1163" s="12">
        <v>134.645977678831</v>
      </c>
      <c r="D1163" s="8">
        <v>1.16694129304177</v>
      </c>
      <c r="E1163" s="12">
        <v>3.3966980573085101E-2</v>
      </c>
      <c r="F1163" s="8" t="s">
        <v>8225</v>
      </c>
      <c r="G1163" s="12" t="s">
        <v>8226</v>
      </c>
      <c r="H1163" s="12">
        <v>1</v>
      </c>
      <c r="I1163" s="13" t="str">
        <f>HYPERLINK("http://www.ncbi.nlm.nih.gov/gene/4975", "4975")</f>
        <v>4975</v>
      </c>
      <c r="J1163" s="13" t="str">
        <f>HYPERLINK("http://www.ncbi.nlm.nih.gov/nuccore/NM_006189", "NM_006189")</f>
        <v>NM_006189</v>
      </c>
      <c r="K1163" s="12" t="s">
        <v>8227</v>
      </c>
      <c r="L1163" s="13" t="str">
        <f>HYPERLINK("http://asia.ensembl.org/Homo_sapiens/Gene/Summary?g=ENSG00000254550", "ENSG00000254550")</f>
        <v>ENSG00000254550</v>
      </c>
      <c r="M1163" s="12" t="s">
        <v>8228</v>
      </c>
      <c r="N1163" s="12" t="s">
        <v>8229</v>
      </c>
    </row>
    <row r="1164" spans="1:14">
      <c r="A1164" s="12" t="s">
        <v>5534</v>
      </c>
      <c r="B1164" s="8">
        <v>349.05709626736098</v>
      </c>
      <c r="C1164" s="12">
        <v>155.726642428524</v>
      </c>
      <c r="D1164" s="8">
        <v>1.1644472530702501</v>
      </c>
      <c r="E1164" s="12">
        <v>5.3048726778290199E-3</v>
      </c>
      <c r="F1164" s="8" t="s">
        <v>5535</v>
      </c>
      <c r="G1164" s="12" t="s">
        <v>5536</v>
      </c>
      <c r="H1164" s="12">
        <v>1</v>
      </c>
      <c r="I1164" s="13" t="str">
        <f>HYPERLINK("http://www.ncbi.nlm.nih.gov/gene/11016", "11016")</f>
        <v>11016</v>
      </c>
      <c r="J1164" s="12" t="s">
        <v>13811</v>
      </c>
      <c r="K1164" s="12" t="s">
        <v>13812</v>
      </c>
      <c r="L1164" s="13" t="str">
        <f>HYPERLINK("http://asia.ensembl.org/Homo_sapiens/Gene/Summary?g=ENSG00000170653", "ENSG00000170653")</f>
        <v>ENSG00000170653</v>
      </c>
      <c r="M1164" s="12" t="s">
        <v>13813</v>
      </c>
      <c r="N1164" s="12" t="s">
        <v>13814</v>
      </c>
    </row>
    <row r="1165" spans="1:14">
      <c r="A1165" s="12" t="s">
        <v>7053</v>
      </c>
      <c r="B1165" s="8">
        <v>5328.9905887405102</v>
      </c>
      <c r="C1165" s="12">
        <v>2378.4564326668501</v>
      </c>
      <c r="D1165" s="8">
        <v>1.1638366862280001</v>
      </c>
      <c r="E1165" s="12">
        <v>2.3067931548696298E-3</v>
      </c>
      <c r="F1165" s="8" t="s">
        <v>7054</v>
      </c>
      <c r="G1165" s="12" t="s">
        <v>14332</v>
      </c>
      <c r="H1165" s="12">
        <v>1</v>
      </c>
      <c r="I1165" s="13" t="str">
        <f>HYPERLINK("http://www.ncbi.nlm.nih.gov/gene/5504", "5504")</f>
        <v>5504</v>
      </c>
      <c r="J1165" s="13" t="str">
        <f>HYPERLINK("http://www.ncbi.nlm.nih.gov/nuccore/NM_006241", "NM_006241")</f>
        <v>NM_006241</v>
      </c>
      <c r="K1165" s="12" t="s">
        <v>7055</v>
      </c>
      <c r="L1165" s="13" t="str">
        <f>HYPERLINK("http://asia.ensembl.org/Homo_sapiens/Gene/Summary?g=ENSG00000184203", "ENSG00000184203")</f>
        <v>ENSG00000184203</v>
      </c>
      <c r="M1165" s="12" t="s">
        <v>14333</v>
      </c>
      <c r="N1165" s="12" t="s">
        <v>14334</v>
      </c>
    </row>
    <row r="1166" spans="1:14">
      <c r="A1166" s="12" t="s">
        <v>656</v>
      </c>
      <c r="B1166" s="8">
        <v>527.48578757857103</v>
      </c>
      <c r="C1166" s="12">
        <v>235.43224697050201</v>
      </c>
      <c r="D1166" s="8">
        <v>1.1638202840734999</v>
      </c>
      <c r="E1166" s="12">
        <v>1.00824831542713E-2</v>
      </c>
      <c r="F1166" s="8" t="s">
        <v>657</v>
      </c>
      <c r="G1166" s="12" t="s">
        <v>658</v>
      </c>
      <c r="H1166" s="12">
        <v>1</v>
      </c>
      <c r="I1166" s="13" t="str">
        <f>HYPERLINK("http://www.ncbi.nlm.nih.gov/gene/203522", "203522")</f>
        <v>203522</v>
      </c>
      <c r="J1166" s="13" t="str">
        <f>HYPERLINK("http://www.ncbi.nlm.nih.gov/nuccore/NM_182540", "NM_182540")</f>
        <v>NM_182540</v>
      </c>
      <c r="K1166" s="12" t="s">
        <v>659</v>
      </c>
      <c r="L1166" s="13" t="str">
        <f>HYPERLINK("http://asia.ensembl.org/Homo_sapiens/Gene/Summary?g=ENSG00000165359", "ENSG00000165359")</f>
        <v>ENSG00000165359</v>
      </c>
      <c r="M1166" s="12" t="s">
        <v>12060</v>
      </c>
      <c r="N1166" s="12" t="s">
        <v>660</v>
      </c>
    </row>
    <row r="1167" spans="1:14">
      <c r="A1167" s="12" t="s">
        <v>10760</v>
      </c>
      <c r="B1167" s="8">
        <v>173.80550203670799</v>
      </c>
      <c r="C1167" s="12">
        <v>77.608448775222499</v>
      </c>
      <c r="D1167" s="8">
        <v>1.16318812944636</v>
      </c>
      <c r="E1167" s="12">
        <v>3.1646895908669703E-2</v>
      </c>
      <c r="F1167" s="8" t="s">
        <v>5716</v>
      </c>
      <c r="G1167" s="12" t="s">
        <v>15834</v>
      </c>
      <c r="H1167" s="12">
        <v>1</v>
      </c>
      <c r="I1167" s="13" t="str">
        <f>HYPERLINK("http://www.ncbi.nlm.nih.gov/gene/5205", "5205")</f>
        <v>5205</v>
      </c>
      <c r="J1167" s="13" t="str">
        <f>HYPERLINK("http://www.ncbi.nlm.nih.gov/nuccore/NM_005603", "NM_005603")</f>
        <v>NM_005603</v>
      </c>
      <c r="K1167" s="12" t="s">
        <v>5717</v>
      </c>
      <c r="L1167" s="13" t="str">
        <f>HYPERLINK("http://asia.ensembl.org/Homo_sapiens/Gene/Summary?g=ENSG00000081923", "ENSG00000081923")</f>
        <v>ENSG00000081923</v>
      </c>
      <c r="M1167" s="12" t="s">
        <v>15835</v>
      </c>
      <c r="N1167" s="12" t="s">
        <v>15836</v>
      </c>
    </row>
    <row r="1168" spans="1:14">
      <c r="A1168" s="12" t="s">
        <v>2750</v>
      </c>
      <c r="B1168" s="8">
        <v>4818.2905038012796</v>
      </c>
      <c r="C1168" s="12">
        <v>2152.00748766477</v>
      </c>
      <c r="D1168" s="8">
        <v>1.1628382814012399</v>
      </c>
      <c r="E1168" s="12">
        <v>1.50283884924025E-3</v>
      </c>
      <c r="F1168" s="8" t="s">
        <v>2751</v>
      </c>
      <c r="G1168" s="12" t="s">
        <v>2752</v>
      </c>
      <c r="H1168" s="12">
        <v>1</v>
      </c>
      <c r="I1168" s="13" t="str">
        <f>HYPERLINK("http://www.ncbi.nlm.nih.gov/gene/3459", "3459")</f>
        <v>3459</v>
      </c>
      <c r="J1168" s="13" t="str">
        <f>HYPERLINK("http://www.ncbi.nlm.nih.gov/nuccore/NM_000416", "NM_000416")</f>
        <v>NM_000416</v>
      </c>
      <c r="K1168" s="12" t="s">
        <v>2753</v>
      </c>
      <c r="L1168" s="13" t="str">
        <f>HYPERLINK("http://asia.ensembl.org/Homo_sapiens/Gene/Summary?g=ENSG00000027697", "ENSG00000027697")</f>
        <v>ENSG00000027697</v>
      </c>
      <c r="M1168" s="12" t="s">
        <v>12771</v>
      </c>
      <c r="N1168" s="12" t="s">
        <v>12772</v>
      </c>
    </row>
    <row r="1169" spans="1:14">
      <c r="A1169" s="12" t="s">
        <v>10414</v>
      </c>
      <c r="B1169" s="8">
        <v>956.12981115151899</v>
      </c>
      <c r="C1169" s="12">
        <v>427.09856723923502</v>
      </c>
      <c r="D1169" s="8">
        <v>1.16263744402725</v>
      </c>
      <c r="E1169" s="12">
        <v>1.7487824177260501E-3</v>
      </c>
      <c r="F1169" s="8" t="s">
        <v>10415</v>
      </c>
      <c r="G1169" s="12" t="s">
        <v>10416</v>
      </c>
      <c r="H1169" s="12">
        <v>1</v>
      </c>
      <c r="I1169" s="13" t="str">
        <f>HYPERLINK("http://www.ncbi.nlm.nih.gov/gene/1375", "1375")</f>
        <v>1375</v>
      </c>
      <c r="J1169" s="12" t="s">
        <v>15422</v>
      </c>
      <c r="K1169" s="12" t="s">
        <v>15423</v>
      </c>
      <c r="L1169" s="13" t="str">
        <f>HYPERLINK("http://asia.ensembl.org/Homo_sapiens/Gene/Summary?g=ENSG00000205560", "ENSG00000205560")</f>
        <v>ENSG00000205560</v>
      </c>
      <c r="M1169" s="12" t="s">
        <v>15424</v>
      </c>
      <c r="N1169" s="12" t="s">
        <v>15425</v>
      </c>
    </row>
    <row r="1170" spans="1:14">
      <c r="A1170" s="12" t="s">
        <v>384</v>
      </c>
      <c r="B1170" s="8">
        <v>1660.3581214733099</v>
      </c>
      <c r="C1170" s="12">
        <v>741.80107631458804</v>
      </c>
      <c r="D1170" s="8">
        <v>1.1623901827821199</v>
      </c>
      <c r="E1170" s="12">
        <v>7.4576330147609103E-3</v>
      </c>
      <c r="F1170" s="8" t="s">
        <v>385</v>
      </c>
      <c r="G1170" s="12" t="s">
        <v>11969</v>
      </c>
      <c r="H1170" s="12">
        <v>1</v>
      </c>
      <c r="I1170" s="13" t="str">
        <f>HYPERLINK("http://www.ncbi.nlm.nih.gov/gene/2242", "2242")</f>
        <v>2242</v>
      </c>
      <c r="J1170" s="12" t="s">
        <v>11970</v>
      </c>
      <c r="K1170" s="12" t="s">
        <v>11971</v>
      </c>
      <c r="L1170" s="13" t="str">
        <f>HYPERLINK("http://asia.ensembl.org/Homo_sapiens/Gene/Summary?g=ENSG00000182511", "ENSG00000182511")</f>
        <v>ENSG00000182511</v>
      </c>
      <c r="M1170" s="12" t="s">
        <v>11972</v>
      </c>
      <c r="N1170" s="12" t="s">
        <v>11973</v>
      </c>
    </row>
    <row r="1171" spans="1:14">
      <c r="A1171" s="12" t="s">
        <v>10687</v>
      </c>
      <c r="B1171" s="8">
        <v>4814.4770412050302</v>
      </c>
      <c r="C1171" s="12">
        <v>2151.6787721617802</v>
      </c>
      <c r="D1171" s="8">
        <v>1.16191638642044</v>
      </c>
      <c r="E1171" s="12">
        <v>2.4353181155437099E-2</v>
      </c>
      <c r="F1171" s="8" t="s">
        <v>8906</v>
      </c>
      <c r="G1171" s="12" t="s">
        <v>8907</v>
      </c>
      <c r="H1171" s="12">
        <v>1</v>
      </c>
      <c r="I1171" s="13" t="str">
        <f>HYPERLINK("http://www.ncbi.nlm.nih.gov/gene/201973", "201973")</f>
        <v>201973</v>
      </c>
      <c r="J1171" s="13" t="str">
        <f>HYPERLINK("http://www.ncbi.nlm.nih.gov/nuccore/NM_152683", "NM_152683")</f>
        <v>NM_152683</v>
      </c>
      <c r="K1171" s="12" t="s">
        <v>8908</v>
      </c>
      <c r="L1171" s="13" t="str">
        <f>HYPERLINK("http://asia.ensembl.org/Homo_sapiens/Gene/Summary?g=ENSG00000164306", "ENSG00000164306")</f>
        <v>ENSG00000164306</v>
      </c>
      <c r="M1171" s="12" t="s">
        <v>15715</v>
      </c>
      <c r="N1171" s="12" t="s">
        <v>15716</v>
      </c>
    </row>
    <row r="1172" spans="1:14">
      <c r="A1172" s="12" t="s">
        <v>7926</v>
      </c>
      <c r="B1172" s="8">
        <v>247.44682209568299</v>
      </c>
      <c r="C1172" s="12">
        <v>110.59234700318299</v>
      </c>
      <c r="D1172" s="8">
        <v>1.1618669596670601</v>
      </c>
      <c r="E1172" s="12">
        <v>3.5759703026974399E-2</v>
      </c>
      <c r="F1172" s="8" t="s">
        <v>7673</v>
      </c>
      <c r="G1172" s="12" t="s">
        <v>14511</v>
      </c>
      <c r="H1172" s="12">
        <v>4</v>
      </c>
      <c r="I1172" s="12" t="s">
        <v>7674</v>
      </c>
      <c r="J1172" s="12" t="s">
        <v>7675</v>
      </c>
      <c r="K1172" s="12" t="s">
        <v>6413</v>
      </c>
    </row>
    <row r="1173" spans="1:14">
      <c r="A1173" s="12" t="s">
        <v>8001</v>
      </c>
      <c r="B1173" s="8">
        <v>909.21799081779204</v>
      </c>
      <c r="C1173" s="12">
        <v>406.82225584969098</v>
      </c>
      <c r="D1173" s="8">
        <v>1.16022762498789</v>
      </c>
      <c r="E1173" s="12">
        <v>1.06509115213375E-3</v>
      </c>
      <c r="F1173" s="8" t="s">
        <v>8002</v>
      </c>
      <c r="G1173" s="12" t="s">
        <v>8003</v>
      </c>
      <c r="H1173" s="12">
        <v>1</v>
      </c>
      <c r="I1173" s="13" t="str">
        <f>HYPERLINK("http://www.ncbi.nlm.nih.gov/gene/7109", "7109")</f>
        <v>7109</v>
      </c>
      <c r="J1173" s="13" t="str">
        <f>HYPERLINK("http://www.ncbi.nlm.nih.gov/nuccore/NM_003274", "NM_003274")</f>
        <v>NM_003274</v>
      </c>
      <c r="K1173" s="12" t="s">
        <v>8004</v>
      </c>
      <c r="L1173" s="13" t="str">
        <f>HYPERLINK("http://asia.ensembl.org/Homo_sapiens/Gene/Summary?g=ENSG00000160218", "ENSG00000160218")</f>
        <v>ENSG00000160218</v>
      </c>
      <c r="M1173" s="12" t="s">
        <v>14640</v>
      </c>
      <c r="N1173" s="12" t="s">
        <v>14641</v>
      </c>
    </row>
    <row r="1174" spans="1:14">
      <c r="A1174" s="12" t="s">
        <v>7822</v>
      </c>
      <c r="B1174" s="8">
        <v>200.48091301461301</v>
      </c>
      <c r="C1174" s="12">
        <v>89.711260306965599</v>
      </c>
      <c r="D1174" s="8">
        <v>1.16010390532024</v>
      </c>
      <c r="E1174" s="12">
        <v>9.8160441664193205E-3</v>
      </c>
      <c r="F1174" s="8" t="s">
        <v>7823</v>
      </c>
      <c r="G1174" s="12" t="s">
        <v>7824</v>
      </c>
      <c r="H1174" s="12">
        <v>1</v>
      </c>
      <c r="I1174" s="13" t="str">
        <f>HYPERLINK("http://www.ncbi.nlm.nih.gov/gene/387921", "387921")</f>
        <v>387921</v>
      </c>
      <c r="J1174" s="12" t="s">
        <v>14566</v>
      </c>
      <c r="K1174" s="12" t="s">
        <v>14567</v>
      </c>
      <c r="L1174" s="13" t="str">
        <f>HYPERLINK("http://asia.ensembl.org/Homo_sapiens/Gene/Summary?g=ENSG00000188811", "ENSG00000188811")</f>
        <v>ENSG00000188811</v>
      </c>
      <c r="M1174" s="12" t="s">
        <v>14568</v>
      </c>
      <c r="N1174" s="12" t="s">
        <v>14569</v>
      </c>
    </row>
    <row r="1175" spans="1:14">
      <c r="A1175" s="12" t="s">
        <v>10958</v>
      </c>
      <c r="B1175" s="8">
        <v>311.25390527603997</v>
      </c>
      <c r="C1175" s="12">
        <v>139.34727398540801</v>
      </c>
      <c r="D1175" s="8">
        <v>1.1594071590164099</v>
      </c>
      <c r="E1175" s="12">
        <v>6.8459044215982796E-3</v>
      </c>
      <c r="F1175" s="8" t="s">
        <v>10959</v>
      </c>
      <c r="G1175" s="12" t="s">
        <v>10960</v>
      </c>
      <c r="H1175" s="12">
        <v>4</v>
      </c>
      <c r="I1175" s="12" t="s">
        <v>10961</v>
      </c>
      <c r="J1175" s="12" t="s">
        <v>10962</v>
      </c>
      <c r="K1175" s="12" t="s">
        <v>10963</v>
      </c>
      <c r="L1175" s="12" t="s">
        <v>10964</v>
      </c>
      <c r="M1175" s="12" t="s">
        <v>15956</v>
      </c>
      <c r="N1175" s="12" t="s">
        <v>15957</v>
      </c>
    </row>
    <row r="1176" spans="1:14">
      <c r="A1176" s="12" t="s">
        <v>10334</v>
      </c>
      <c r="B1176" s="8">
        <v>1442.5638994029</v>
      </c>
      <c r="C1176" s="12">
        <v>645.84840570097504</v>
      </c>
      <c r="D1176" s="8">
        <v>1.15936774681096</v>
      </c>
      <c r="E1176" s="12">
        <v>2.5945824864581301E-3</v>
      </c>
      <c r="F1176" s="8" t="s">
        <v>3122</v>
      </c>
      <c r="G1176" s="12" t="s">
        <v>3123</v>
      </c>
      <c r="H1176" s="12">
        <v>1</v>
      </c>
      <c r="I1176" s="13" t="str">
        <f>HYPERLINK("http://www.ncbi.nlm.nih.gov/gene/79968", "79968")</f>
        <v>79968</v>
      </c>
      <c r="J1176" s="12" t="s">
        <v>15404</v>
      </c>
      <c r="K1176" s="12" t="s">
        <v>15405</v>
      </c>
      <c r="L1176" s="13" t="str">
        <f>HYPERLINK("http://asia.ensembl.org/Homo_sapiens/Gene/Summary?g=ENSG00000092470", "ENSG00000092470")</f>
        <v>ENSG00000092470</v>
      </c>
      <c r="M1176" s="12" t="s">
        <v>15406</v>
      </c>
      <c r="N1176" s="12" t="s">
        <v>15407</v>
      </c>
    </row>
    <row r="1177" spans="1:14">
      <c r="A1177" s="12" t="s">
        <v>6414</v>
      </c>
      <c r="B1177" s="8">
        <v>3457.77128303379</v>
      </c>
      <c r="C1177" s="12">
        <v>1548.1648877233999</v>
      </c>
      <c r="D1177" s="8">
        <v>1.15928330965849</v>
      </c>
      <c r="E1177" s="12">
        <v>5.6881035822206995E-4</v>
      </c>
      <c r="F1177" s="8" t="s">
        <v>6415</v>
      </c>
      <c r="G1177" s="12" t="s">
        <v>14169</v>
      </c>
      <c r="H1177" s="12">
        <v>1</v>
      </c>
      <c r="I1177" s="13" t="str">
        <f>HYPERLINK("http://www.ncbi.nlm.nih.gov/gene/4299", "4299")</f>
        <v>4299</v>
      </c>
      <c r="J1177" s="12" t="s">
        <v>14170</v>
      </c>
      <c r="K1177" s="12" t="s">
        <v>14171</v>
      </c>
      <c r="L1177" s="13" t="str">
        <f>HYPERLINK("http://asia.ensembl.org/Homo_sapiens/Gene/Summary?g=ENSG00000172493", "ENSG00000172493")</f>
        <v>ENSG00000172493</v>
      </c>
      <c r="M1177" s="12" t="s">
        <v>14172</v>
      </c>
      <c r="N1177" s="12" t="s">
        <v>14173</v>
      </c>
    </row>
    <row r="1178" spans="1:14">
      <c r="A1178" s="12" t="s">
        <v>245</v>
      </c>
      <c r="B1178" s="8">
        <v>3772.9884429086801</v>
      </c>
      <c r="C1178" s="12">
        <v>1689.34817729974</v>
      </c>
      <c r="D1178" s="8">
        <v>1.1592409805287101</v>
      </c>
      <c r="E1178" s="12">
        <v>4.1778240244755198E-3</v>
      </c>
      <c r="F1178" s="8" t="s">
        <v>246</v>
      </c>
      <c r="G1178" s="12" t="s">
        <v>247</v>
      </c>
      <c r="H1178" s="12">
        <v>1</v>
      </c>
      <c r="I1178" s="13" t="str">
        <f>HYPERLINK("http://www.ncbi.nlm.nih.gov/gene/348938", "348938")</f>
        <v>348938</v>
      </c>
      <c r="J1178" s="12" t="s">
        <v>11917</v>
      </c>
      <c r="K1178" s="12" t="s">
        <v>11918</v>
      </c>
      <c r="L1178" s="13" t="str">
        <f>HYPERLINK("http://asia.ensembl.org/Homo_sapiens/Gene/Summary?g=ENSG00000172548", "ENSG00000172548")</f>
        <v>ENSG00000172548</v>
      </c>
      <c r="M1178" s="12" t="s">
        <v>11919</v>
      </c>
      <c r="N1178" s="12" t="s">
        <v>11920</v>
      </c>
    </row>
    <row r="1179" spans="1:14">
      <c r="A1179" s="12" t="s">
        <v>10807</v>
      </c>
      <c r="B1179" s="8">
        <v>2158.5014224359802</v>
      </c>
      <c r="C1179" s="12">
        <v>966.71674251567299</v>
      </c>
      <c r="D1179" s="8">
        <v>1.1588649105837201</v>
      </c>
      <c r="E1179" s="12">
        <v>3.8039419218522698E-3</v>
      </c>
      <c r="F1179" s="8" t="s">
        <v>6155</v>
      </c>
      <c r="G1179" s="12" t="s">
        <v>15905</v>
      </c>
      <c r="H1179" s="12">
        <v>1</v>
      </c>
      <c r="I1179" s="13" t="str">
        <f>HYPERLINK("http://www.ncbi.nlm.nih.gov/gene/79872", "79872")</f>
        <v>79872</v>
      </c>
      <c r="J1179" s="12" t="s">
        <v>15906</v>
      </c>
      <c r="K1179" s="12" t="s">
        <v>15907</v>
      </c>
      <c r="L1179" s="13" t="str">
        <f>HYPERLINK("http://asia.ensembl.org/Homo_sapiens/Gene/Summary?g=ENSG00000105879", "ENSG00000105879")</f>
        <v>ENSG00000105879</v>
      </c>
      <c r="M1179" s="12" t="s">
        <v>15908</v>
      </c>
      <c r="N1179" s="12" t="s">
        <v>15909</v>
      </c>
    </row>
    <row r="1180" spans="1:14">
      <c r="A1180" s="12" t="s">
        <v>4484</v>
      </c>
      <c r="B1180" s="8">
        <v>875.82181412531395</v>
      </c>
      <c r="C1180" s="12">
        <v>392.26999783455699</v>
      </c>
      <c r="D1180" s="8">
        <v>1.1587903861645501</v>
      </c>
      <c r="E1180" s="12">
        <v>2.1064150686465402E-3</v>
      </c>
      <c r="F1180" s="8" t="s">
        <v>4485</v>
      </c>
      <c r="G1180" s="12" t="s">
        <v>104</v>
      </c>
      <c r="H1180" s="12">
        <v>1</v>
      </c>
      <c r="I1180" s="13" t="str">
        <f>HYPERLINK("http://www.ncbi.nlm.nih.gov/gene/55703", "55703")</f>
        <v>55703</v>
      </c>
      <c r="J1180" s="12" t="s">
        <v>13251</v>
      </c>
      <c r="K1180" s="12" t="s">
        <v>13252</v>
      </c>
      <c r="L1180" s="13" t="str">
        <f>HYPERLINK("http://asia.ensembl.org/Homo_sapiens/Gene/Summary?g=ENSG00000013503", "ENSG00000013503")</f>
        <v>ENSG00000013503</v>
      </c>
      <c r="M1180" s="12" t="s">
        <v>13253</v>
      </c>
      <c r="N1180" s="12" t="s">
        <v>13254</v>
      </c>
    </row>
    <row r="1181" spans="1:14">
      <c r="A1181" s="12" t="s">
        <v>8249</v>
      </c>
      <c r="B1181" s="8">
        <v>308.11608912563202</v>
      </c>
      <c r="C1181" s="12">
        <v>138.055276137682</v>
      </c>
      <c r="D1181" s="8">
        <v>1.1582279933342701</v>
      </c>
      <c r="E1181" s="12">
        <v>2.1729281349470501E-2</v>
      </c>
      <c r="F1181" s="8" t="s">
        <v>8250</v>
      </c>
      <c r="G1181" s="12" t="s">
        <v>8251</v>
      </c>
      <c r="H1181" s="12">
        <v>1</v>
      </c>
      <c r="I1181" s="13" t="str">
        <f>HYPERLINK("http://www.ncbi.nlm.nih.gov/gene/163050", "163050")</f>
        <v>163050</v>
      </c>
      <c r="J1181" s="13" t="str">
        <f>HYPERLINK("http://www.ncbi.nlm.nih.gov/nuccore/NM_144976", "NM_144976")</f>
        <v>NM_144976</v>
      </c>
      <c r="K1181" s="12" t="s">
        <v>8252</v>
      </c>
      <c r="L1181" s="13" t="str">
        <f>HYPERLINK("http://asia.ensembl.org/Homo_sapiens/Gene/Summary?g=ENSG00000249709", "ENSG00000249709")</f>
        <v>ENSG00000249709</v>
      </c>
      <c r="M1181" s="12" t="s">
        <v>14710</v>
      </c>
      <c r="N1181" s="12" t="s">
        <v>14711</v>
      </c>
    </row>
    <row r="1182" spans="1:14">
      <c r="A1182" s="12" t="s">
        <v>11781</v>
      </c>
      <c r="B1182" s="8">
        <v>2107.3825888722199</v>
      </c>
      <c r="C1182" s="12">
        <v>944.64852480369996</v>
      </c>
      <c r="D1182" s="8">
        <v>1.1576027037977701</v>
      </c>
      <c r="E1182" s="12">
        <v>5.9974831829408496E-3</v>
      </c>
      <c r="F1182" s="8" t="s">
        <v>11782</v>
      </c>
      <c r="G1182" s="12" t="s">
        <v>11783</v>
      </c>
      <c r="H1182" s="12">
        <v>1</v>
      </c>
      <c r="I1182" s="13" t="str">
        <f>HYPERLINK("http://www.ncbi.nlm.nih.gov/gene/81035", "81035")</f>
        <v>81035</v>
      </c>
      <c r="J1182" s="13" t="str">
        <f>HYPERLINK("http://www.ncbi.nlm.nih.gov/nuccore/NM_130386", "NM_130386")</f>
        <v>NM_130386</v>
      </c>
      <c r="K1182" s="12" t="s">
        <v>11784</v>
      </c>
      <c r="L1182" s="13" t="str">
        <f>HYPERLINK("http://asia.ensembl.org/Homo_sapiens/Gene/Summary?g=ENSG00000158270", "ENSG00000158270")</f>
        <v>ENSG00000158270</v>
      </c>
      <c r="M1182" s="12" t="s">
        <v>16200</v>
      </c>
      <c r="N1182" s="12" t="s">
        <v>11785</v>
      </c>
    </row>
    <row r="1183" spans="1:14">
      <c r="A1183" s="12" t="s">
        <v>772</v>
      </c>
      <c r="B1183" s="8">
        <v>1397.3672311160501</v>
      </c>
      <c r="C1183" s="12">
        <v>626.42860403324505</v>
      </c>
      <c r="D1183" s="8">
        <v>1.1574892182354499</v>
      </c>
      <c r="E1183" s="12">
        <v>6.03456378217307E-3</v>
      </c>
      <c r="F1183" s="8" t="s">
        <v>773</v>
      </c>
      <c r="G1183" s="12" t="s">
        <v>774</v>
      </c>
      <c r="H1183" s="12">
        <v>1</v>
      </c>
      <c r="I1183" s="13" t="str">
        <f>HYPERLINK("http://www.ncbi.nlm.nih.gov/gene/57609", "57609")</f>
        <v>57609</v>
      </c>
      <c r="J1183" s="13" t="str">
        <f>HYPERLINK("http://www.ncbi.nlm.nih.gov/nuccore/NM_173602", "NM_173602")</f>
        <v>NM_173602</v>
      </c>
      <c r="K1183" s="12" t="s">
        <v>775</v>
      </c>
      <c r="L1183" s="13" t="str">
        <f>HYPERLINK("http://asia.ensembl.org/Homo_sapiens/Gene/Summary?g=ENSG00000066084", "ENSG00000066084")</f>
        <v>ENSG00000066084</v>
      </c>
      <c r="M1183" s="12" t="s">
        <v>12101</v>
      </c>
      <c r="N1183" s="12" t="s">
        <v>12102</v>
      </c>
    </row>
    <row r="1184" spans="1:14">
      <c r="A1184" s="12" t="s">
        <v>1242</v>
      </c>
      <c r="B1184" s="8">
        <v>1470.1609744315499</v>
      </c>
      <c r="C1184" s="12">
        <v>659.43418758765495</v>
      </c>
      <c r="D1184" s="8">
        <v>1.15667354189289</v>
      </c>
      <c r="E1184" s="12">
        <v>1.07831238333694E-2</v>
      </c>
      <c r="F1184" s="8" t="s">
        <v>1243</v>
      </c>
      <c r="G1184" s="12" t="s">
        <v>1244</v>
      </c>
      <c r="H1184" s="12">
        <v>1</v>
      </c>
      <c r="I1184" s="13" t="str">
        <f>HYPERLINK("http://www.ncbi.nlm.nih.gov/gene/55075", "55075")</f>
        <v>55075</v>
      </c>
      <c r="J1184" s="12" t="s">
        <v>12274</v>
      </c>
      <c r="K1184" s="12" t="s">
        <v>12275</v>
      </c>
      <c r="L1184" s="13" t="str">
        <f>HYPERLINK("http://asia.ensembl.org/Homo_sapiens/Gene/Summary?g=ENSG00000137831", "ENSG00000137831")</f>
        <v>ENSG00000137831</v>
      </c>
      <c r="M1184" s="12" t="s">
        <v>12276</v>
      </c>
      <c r="N1184" s="12" t="s">
        <v>12277</v>
      </c>
    </row>
    <row r="1185" spans="1:14">
      <c r="A1185" s="12" t="s">
        <v>10572</v>
      </c>
      <c r="B1185" s="8">
        <v>2836.1003254519201</v>
      </c>
      <c r="C1185" s="12">
        <v>1272.1793075806399</v>
      </c>
      <c r="D1185" s="8">
        <v>1.1566065420945699</v>
      </c>
      <c r="E1185" s="12">
        <v>3.4287428689125602E-3</v>
      </c>
      <c r="F1185" s="8" t="s">
        <v>1560</v>
      </c>
      <c r="G1185" s="12" t="s">
        <v>15581</v>
      </c>
      <c r="H1185" s="12">
        <v>1</v>
      </c>
      <c r="I1185" s="13" t="str">
        <f>HYPERLINK("http://www.ncbi.nlm.nih.gov/gene/6622", "6622")</f>
        <v>6622</v>
      </c>
      <c r="J1185" s="12" t="s">
        <v>15582</v>
      </c>
      <c r="K1185" s="12" t="s">
        <v>15583</v>
      </c>
      <c r="L1185" s="13" t="str">
        <f>HYPERLINK("http://asia.ensembl.org/Homo_sapiens/Gene/Summary?g=ENSG00000145335", "ENSG00000145335")</f>
        <v>ENSG00000145335</v>
      </c>
      <c r="M1185" s="12" t="s">
        <v>15584</v>
      </c>
      <c r="N1185" s="12" t="s">
        <v>15585</v>
      </c>
    </row>
    <row r="1186" spans="1:14">
      <c r="A1186" s="12" t="s">
        <v>6267</v>
      </c>
      <c r="B1186" s="8">
        <v>4257.2879021194303</v>
      </c>
      <c r="C1186" s="12">
        <v>1910.26578638468</v>
      </c>
      <c r="D1186" s="8">
        <v>1.1561612739206799</v>
      </c>
      <c r="E1186" s="12">
        <v>1.56745827566525E-2</v>
      </c>
      <c r="F1186" s="8" t="s">
        <v>6268</v>
      </c>
      <c r="G1186" s="12" t="s">
        <v>6269</v>
      </c>
      <c r="H1186" s="12">
        <v>1</v>
      </c>
      <c r="I1186" s="13" t="str">
        <f>HYPERLINK("http://www.ncbi.nlm.nih.gov/gene/64343", "64343")</f>
        <v>64343</v>
      </c>
      <c r="J1186" s="12" t="s">
        <v>14110</v>
      </c>
      <c r="K1186" s="12" t="s">
        <v>14111</v>
      </c>
      <c r="L1186" s="13" t="str">
        <f>HYPERLINK("http://asia.ensembl.org/Homo_sapiens/Gene/Summary?g=ENSG00000163512", "ENSG00000163512")</f>
        <v>ENSG00000163512</v>
      </c>
      <c r="M1186" s="12" t="s">
        <v>14112</v>
      </c>
      <c r="N1186" s="12" t="s">
        <v>14113</v>
      </c>
    </row>
    <row r="1187" spans="1:14">
      <c r="A1187" s="12" t="s">
        <v>197</v>
      </c>
      <c r="B1187" s="8">
        <v>1715.45405061618</v>
      </c>
      <c r="C1187" s="12">
        <v>770.05525297839495</v>
      </c>
      <c r="D1187" s="8">
        <v>1.1555566121901999</v>
      </c>
      <c r="E1187" s="12">
        <v>9.7296232058655292E-3</v>
      </c>
      <c r="F1187" s="8" t="s">
        <v>198</v>
      </c>
      <c r="G1187" s="12" t="s">
        <v>11889</v>
      </c>
      <c r="H1187" s="12">
        <v>1</v>
      </c>
      <c r="I1187" s="13" t="str">
        <f>HYPERLINK("http://www.ncbi.nlm.nih.gov/gene/1315", "1315")</f>
        <v>1315</v>
      </c>
      <c r="J1187" s="12" t="s">
        <v>11890</v>
      </c>
      <c r="K1187" s="12" t="s">
        <v>11891</v>
      </c>
      <c r="L1187" s="13" t="str">
        <f>HYPERLINK("http://asia.ensembl.org/Homo_sapiens/Gene/Summary?g=ENSG00000129083", "ENSG00000129083")</f>
        <v>ENSG00000129083</v>
      </c>
      <c r="M1187" s="12" t="s">
        <v>11892</v>
      </c>
      <c r="N1187" s="12" t="s">
        <v>11893</v>
      </c>
    </row>
    <row r="1188" spans="1:14">
      <c r="A1188" s="12" t="s">
        <v>10484</v>
      </c>
      <c r="B1188" s="8">
        <v>1393.5734527064101</v>
      </c>
      <c r="C1188" s="12">
        <v>625.71160524000004</v>
      </c>
      <c r="D1188" s="8">
        <v>1.15521927881355</v>
      </c>
      <c r="E1188" s="12">
        <v>4.0320158985574601E-3</v>
      </c>
      <c r="F1188" s="8" t="s">
        <v>4465</v>
      </c>
      <c r="G1188" s="12" t="s">
        <v>15458</v>
      </c>
      <c r="H1188" s="12">
        <v>1</v>
      </c>
      <c r="I1188" s="13" t="str">
        <f>HYPERLINK("http://www.ncbi.nlm.nih.gov/gene/84294", "84294")</f>
        <v>84294</v>
      </c>
      <c r="J1188" s="13" t="str">
        <f>HYPERLINK("http://www.ncbi.nlm.nih.gov/nuccore/NM_032334", "NM_032334")</f>
        <v>NM_032334</v>
      </c>
      <c r="K1188" s="12" t="s">
        <v>4466</v>
      </c>
      <c r="L1188" s="13" t="str">
        <f>HYPERLINK("http://asia.ensembl.org/Homo_sapiens/Gene/Summary?g=ENSG00000147679", "ENSG00000147679")</f>
        <v>ENSG00000147679</v>
      </c>
      <c r="M1188" s="12" t="s">
        <v>15459</v>
      </c>
      <c r="N1188" s="12" t="s">
        <v>15460</v>
      </c>
    </row>
    <row r="1189" spans="1:14">
      <c r="A1189" s="12" t="s">
        <v>10557</v>
      </c>
      <c r="B1189" s="8">
        <v>7321.2593452136098</v>
      </c>
      <c r="C1189" s="12">
        <v>3291.4495215382299</v>
      </c>
      <c r="D1189" s="8">
        <v>1.1533687584546899</v>
      </c>
      <c r="E1189" s="12">
        <v>5.7173492931447498E-3</v>
      </c>
      <c r="F1189" s="8" t="s">
        <v>7366</v>
      </c>
      <c r="G1189" s="12" t="s">
        <v>7367</v>
      </c>
      <c r="H1189" s="12">
        <v>1</v>
      </c>
      <c r="I1189" s="13" t="str">
        <f>HYPERLINK("http://www.ncbi.nlm.nih.gov/gene/382", "382")</f>
        <v>382</v>
      </c>
      <c r="J1189" s="13" t="str">
        <f>HYPERLINK("http://www.ncbi.nlm.nih.gov/nuccore/NM_001663", "NM_001663")</f>
        <v>NM_001663</v>
      </c>
      <c r="K1189" s="12" t="s">
        <v>7368</v>
      </c>
      <c r="L1189" s="13" t="str">
        <f>HYPERLINK("http://asia.ensembl.org/Homo_sapiens/Gene/Summary?g=ENSG00000165527", "ENSG00000165527")</f>
        <v>ENSG00000165527</v>
      </c>
      <c r="M1189" s="12" t="s">
        <v>7369</v>
      </c>
      <c r="N1189" s="12" t="s">
        <v>7370</v>
      </c>
    </row>
    <row r="1190" spans="1:14">
      <c r="A1190" s="12" t="s">
        <v>10715</v>
      </c>
      <c r="B1190" s="8">
        <v>1604.7751880846699</v>
      </c>
      <c r="C1190" s="12">
        <v>721.488867798878</v>
      </c>
      <c r="D1190" s="8">
        <v>1.1533221653296699</v>
      </c>
      <c r="E1190" s="12">
        <v>5.06476626982657E-3</v>
      </c>
      <c r="F1190" s="8" t="s">
        <v>1851</v>
      </c>
      <c r="G1190" s="12" t="s">
        <v>1852</v>
      </c>
      <c r="H1190" s="12">
        <v>1</v>
      </c>
      <c r="I1190" s="13" t="str">
        <f>HYPERLINK("http://www.ncbi.nlm.nih.gov/gene/4763", "4763")</f>
        <v>4763</v>
      </c>
      <c r="J1190" s="12" t="s">
        <v>15752</v>
      </c>
      <c r="K1190" s="12" t="s">
        <v>15753</v>
      </c>
      <c r="L1190" s="13" t="str">
        <f>HYPERLINK("http://asia.ensembl.org/Homo_sapiens/Gene/Summary?g=ENSG00000196712", "ENSG00000196712")</f>
        <v>ENSG00000196712</v>
      </c>
      <c r="M1190" s="12" t="s">
        <v>15754</v>
      </c>
      <c r="N1190" s="12" t="s">
        <v>15755</v>
      </c>
    </row>
    <row r="1191" spans="1:14">
      <c r="A1191" s="12" t="s">
        <v>10770</v>
      </c>
      <c r="B1191" s="8">
        <v>576.36068091729703</v>
      </c>
      <c r="C1191" s="12">
        <v>259.22518916292103</v>
      </c>
      <c r="D1191" s="8">
        <v>1.1527660057122999</v>
      </c>
      <c r="E1191" s="12">
        <v>1.7135305978519401E-2</v>
      </c>
      <c r="F1191" s="8" t="s">
        <v>6356</v>
      </c>
      <c r="G1191" s="12" t="s">
        <v>6357</v>
      </c>
      <c r="H1191" s="12">
        <v>1</v>
      </c>
      <c r="I1191" s="13" t="str">
        <f>HYPERLINK("http://www.ncbi.nlm.nih.gov/gene/9373", "9373")</f>
        <v>9373</v>
      </c>
      <c r="J1191" s="13" t="str">
        <f>HYPERLINK("http://www.ncbi.nlm.nih.gov/nuccore/NM_001031689", "NM_001031689")</f>
        <v>NM_001031689</v>
      </c>
      <c r="K1191" s="12" t="s">
        <v>6358</v>
      </c>
      <c r="L1191" s="13" t="str">
        <f>HYPERLINK("http://asia.ensembl.org/Homo_sapiens/Gene/Summary?g=ENSG00000137055", "ENSG00000137055")</f>
        <v>ENSG00000137055</v>
      </c>
      <c r="M1191" s="12" t="s">
        <v>15852</v>
      </c>
      <c r="N1191" s="12" t="s">
        <v>15853</v>
      </c>
    </row>
    <row r="1192" spans="1:14">
      <c r="A1192" s="12" t="s">
        <v>6180</v>
      </c>
      <c r="B1192" s="8">
        <v>2848.1649275446498</v>
      </c>
      <c r="C1192" s="12">
        <v>1281.0117964313899</v>
      </c>
      <c r="D1192" s="8">
        <v>1.1527489292247299</v>
      </c>
      <c r="E1192" s="12">
        <v>4.2804860030529901E-4</v>
      </c>
      <c r="F1192" s="8" t="s">
        <v>6181</v>
      </c>
      <c r="G1192" s="12" t="s">
        <v>456</v>
      </c>
      <c r="H1192" s="12">
        <v>1</v>
      </c>
      <c r="I1192" s="13" t="str">
        <f>HYPERLINK("http://www.ncbi.nlm.nih.gov/gene/9879", "9879")</f>
        <v>9879</v>
      </c>
      <c r="J1192" s="13" t="str">
        <f>HYPERLINK("http://www.ncbi.nlm.nih.gov/nuccore/NM_014829", "NM_014829")</f>
        <v>NM_014829</v>
      </c>
      <c r="K1192" s="12" t="s">
        <v>6182</v>
      </c>
      <c r="L1192" s="13" t="str">
        <f>HYPERLINK("http://asia.ensembl.org/Homo_sapiens/Gene/Summary?g=ENSG00000145833", "ENSG00000145833")</f>
        <v>ENSG00000145833</v>
      </c>
      <c r="M1192" s="12" t="s">
        <v>14081</v>
      </c>
      <c r="N1192" s="12" t="s">
        <v>14082</v>
      </c>
    </row>
    <row r="1193" spans="1:14">
      <c r="A1193" s="12" t="s">
        <v>10881</v>
      </c>
      <c r="B1193" s="8">
        <v>7135.6276451594604</v>
      </c>
      <c r="C1193" s="12">
        <v>3210.0901814130002</v>
      </c>
      <c r="D1193" s="8">
        <v>1.15242650609257</v>
      </c>
      <c r="E1193" s="12">
        <v>2.8398452361820402E-3</v>
      </c>
      <c r="F1193" s="8" t="s">
        <v>10882</v>
      </c>
      <c r="G1193" s="12" t="s">
        <v>791</v>
      </c>
      <c r="H1193" s="12">
        <v>1</v>
      </c>
      <c r="I1193" s="13" t="str">
        <f>HYPERLINK("http://www.ncbi.nlm.nih.gov/gene/5062", "5062")</f>
        <v>5062</v>
      </c>
      <c r="J1193" s="13" t="str">
        <f>HYPERLINK("http://www.ncbi.nlm.nih.gov/nuccore/NM_002577", "NM_002577")</f>
        <v>NM_002577</v>
      </c>
      <c r="K1193" s="12" t="s">
        <v>10883</v>
      </c>
      <c r="L1193" s="13" t="str">
        <f>HYPERLINK("http://asia.ensembl.org/Homo_sapiens/Gene/Summary?g=ENSG00000180370", "ENSG00000180370")</f>
        <v>ENSG00000180370</v>
      </c>
      <c r="M1193" s="12" t="s">
        <v>15946</v>
      </c>
      <c r="N1193" s="12" t="s">
        <v>15947</v>
      </c>
    </row>
    <row r="1194" spans="1:14">
      <c r="A1194" s="12" t="s">
        <v>9971</v>
      </c>
      <c r="B1194" s="8">
        <v>11261.8908723844</v>
      </c>
      <c r="C1194" s="12">
        <v>5066.3848307020198</v>
      </c>
      <c r="D1194" s="8">
        <v>1.15242050631434</v>
      </c>
      <c r="E1194" s="12">
        <v>2.9245838218288299E-3</v>
      </c>
      <c r="F1194" s="8" t="s">
        <v>6449</v>
      </c>
      <c r="G1194" s="12" t="s">
        <v>14186</v>
      </c>
      <c r="H1194" s="12">
        <v>1</v>
      </c>
      <c r="I1194" s="13" t="str">
        <f>HYPERLINK("http://www.ncbi.nlm.nih.gov/gene/3688", "3688")</f>
        <v>3688</v>
      </c>
      <c r="J1194" s="12" t="s">
        <v>14187</v>
      </c>
      <c r="K1194" s="12" t="s">
        <v>14188</v>
      </c>
      <c r="L1194" s="13" t="str">
        <f>HYPERLINK("http://asia.ensembl.org/Homo_sapiens/Gene/Summary?g=ENSG00000150093", "ENSG00000150093")</f>
        <v>ENSG00000150093</v>
      </c>
      <c r="M1194" s="12" t="s">
        <v>14189</v>
      </c>
      <c r="N1194" s="12" t="s">
        <v>14190</v>
      </c>
    </row>
    <row r="1195" spans="1:14">
      <c r="A1195" s="12" t="s">
        <v>5138</v>
      </c>
      <c r="B1195" s="8">
        <v>935.86516996120895</v>
      </c>
      <c r="C1195" s="12">
        <v>421.04726662996899</v>
      </c>
      <c r="D1195" s="8">
        <v>1.1523184969301901</v>
      </c>
      <c r="E1195" s="12">
        <v>1.50944563146816E-3</v>
      </c>
      <c r="F1195" s="8" t="s">
        <v>5139</v>
      </c>
      <c r="G1195" s="12" t="s">
        <v>5140</v>
      </c>
      <c r="H1195" s="12">
        <v>1</v>
      </c>
      <c r="I1195" s="13" t="str">
        <f>HYPERLINK("http://www.ncbi.nlm.nih.gov/gene/4851", "4851")</f>
        <v>4851</v>
      </c>
      <c r="J1195" s="13" t="str">
        <f>HYPERLINK("http://www.ncbi.nlm.nih.gov/nuccore/NM_017617", "NM_017617")</f>
        <v>NM_017617</v>
      </c>
      <c r="K1195" s="12" t="s">
        <v>5141</v>
      </c>
      <c r="L1195" s="13" t="str">
        <f>HYPERLINK("http://asia.ensembl.org/Homo_sapiens/Gene/Summary?g=ENSG00000148400", "ENSG00000148400")</f>
        <v>ENSG00000148400</v>
      </c>
      <c r="M1195" s="12" t="s">
        <v>13603</v>
      </c>
      <c r="N1195" s="12" t="s">
        <v>5142</v>
      </c>
    </row>
    <row r="1196" spans="1:14">
      <c r="A1196" s="12" t="s">
        <v>3825</v>
      </c>
      <c r="B1196" s="8">
        <v>271.87678594530797</v>
      </c>
      <c r="C1196" s="12">
        <v>122.323547680101</v>
      </c>
      <c r="D1196" s="8">
        <v>1.1522508187932801</v>
      </c>
      <c r="E1196" s="12">
        <v>1.13617589389795E-2</v>
      </c>
      <c r="F1196" s="8" t="s">
        <v>3826</v>
      </c>
      <c r="G1196" s="12" t="s">
        <v>3827</v>
      </c>
      <c r="H1196" s="12">
        <v>1</v>
      </c>
      <c r="I1196" s="13" t="str">
        <f>HYPERLINK("http://www.ncbi.nlm.nih.gov/gene/257397", "257397")</f>
        <v>257397</v>
      </c>
      <c r="J1196" s="13" t="str">
        <f>HYPERLINK("http://www.ncbi.nlm.nih.gov/nuccore/NM_152787", "NM_152787")</f>
        <v>NM_152787</v>
      </c>
      <c r="K1196" s="12" t="s">
        <v>3828</v>
      </c>
      <c r="L1196" s="13" t="str">
        <f>HYPERLINK("http://asia.ensembl.org/Homo_sapiens/Gene/Summary?g=ENSG00000157625", "ENSG00000157625")</f>
        <v>ENSG00000157625</v>
      </c>
      <c r="M1196" s="12" t="s">
        <v>13100</v>
      </c>
      <c r="N1196" s="12" t="s">
        <v>13101</v>
      </c>
    </row>
    <row r="1197" spans="1:14">
      <c r="A1197" s="12" t="s">
        <v>8685</v>
      </c>
      <c r="B1197" s="8">
        <v>1964.17266599701</v>
      </c>
      <c r="C1197" s="12">
        <v>883.75958815487297</v>
      </c>
      <c r="D1197" s="8">
        <v>1.1521958919788999</v>
      </c>
      <c r="E1197" s="12">
        <v>2.7165518630279601E-3</v>
      </c>
      <c r="F1197" s="8" t="s">
        <v>8686</v>
      </c>
      <c r="G1197" s="12" t="s">
        <v>14811</v>
      </c>
      <c r="H1197" s="12">
        <v>1</v>
      </c>
      <c r="I1197" s="13" t="str">
        <f>HYPERLINK("http://www.ncbi.nlm.nih.gov/gene/23507", "23507")</f>
        <v>23507</v>
      </c>
      <c r="J1197" s="12" t="s">
        <v>14812</v>
      </c>
      <c r="K1197" s="12" t="s">
        <v>14813</v>
      </c>
      <c r="L1197" s="13" t="str">
        <f>HYPERLINK("http://asia.ensembl.org/Homo_sapiens/Gene/Summary?g=ENSG00000197147", "ENSG00000197147")</f>
        <v>ENSG00000197147</v>
      </c>
      <c r="M1197" s="12" t="s">
        <v>14814</v>
      </c>
      <c r="N1197" s="12" t="s">
        <v>14815</v>
      </c>
    </row>
    <row r="1198" spans="1:14">
      <c r="A1198" s="12" t="s">
        <v>792</v>
      </c>
      <c r="B1198" s="8">
        <v>23382.3282929956</v>
      </c>
      <c r="C1198" s="12">
        <v>10523.562843780501</v>
      </c>
      <c r="D1198" s="8">
        <v>1.1517953689442699</v>
      </c>
      <c r="E1198" s="12">
        <v>3.8020210076642399E-3</v>
      </c>
      <c r="F1198" s="8" t="s">
        <v>793</v>
      </c>
      <c r="G1198" s="12" t="s">
        <v>12114</v>
      </c>
      <c r="H1198" s="12">
        <v>1</v>
      </c>
      <c r="I1198" s="13" t="str">
        <f>HYPERLINK("http://www.ncbi.nlm.nih.gov/gene/5500", "5500")</f>
        <v>5500</v>
      </c>
      <c r="J1198" s="12" t="s">
        <v>12115</v>
      </c>
      <c r="K1198" s="12" t="s">
        <v>12116</v>
      </c>
      <c r="L1198" s="13" t="str">
        <f>HYPERLINK("http://asia.ensembl.org/Homo_sapiens/Gene/Summary?g=ENSG00000213639", "ENSG00000213639")</f>
        <v>ENSG00000213639</v>
      </c>
      <c r="M1198" s="12" t="s">
        <v>12117</v>
      </c>
      <c r="N1198" s="12" t="s">
        <v>12118</v>
      </c>
    </row>
    <row r="1199" spans="1:14">
      <c r="A1199" s="12" t="s">
        <v>2638</v>
      </c>
      <c r="B1199" s="8">
        <v>2215.4811434355602</v>
      </c>
      <c r="C1199" s="12">
        <v>997.57466728920497</v>
      </c>
      <c r="D1199" s="8">
        <v>1.15112331319092</v>
      </c>
      <c r="E1199" s="12">
        <v>5.3495697201011204E-3</v>
      </c>
      <c r="F1199" s="8" t="s">
        <v>2639</v>
      </c>
      <c r="G1199" s="12" t="s">
        <v>2640</v>
      </c>
      <c r="H1199" s="12">
        <v>1</v>
      </c>
      <c r="I1199" s="13" t="str">
        <f>HYPERLINK("http://www.ncbi.nlm.nih.gov/gene/114908", "114908")</f>
        <v>114908</v>
      </c>
      <c r="J1199" s="13" t="str">
        <f>HYPERLINK("http://www.ncbi.nlm.nih.gov/nuccore/NM_052932", "NM_052932")</f>
        <v>NM_052932</v>
      </c>
      <c r="K1199" s="12" t="s">
        <v>2641</v>
      </c>
      <c r="L1199" s="13" t="str">
        <f>HYPERLINK("http://asia.ensembl.org/Homo_sapiens/Gene/Summary?g=ENSG00000152558", "ENSG00000152558")</f>
        <v>ENSG00000152558</v>
      </c>
      <c r="M1199" s="12" t="s">
        <v>12726</v>
      </c>
      <c r="N1199" s="12" t="s">
        <v>12727</v>
      </c>
    </row>
    <row r="1200" spans="1:14">
      <c r="A1200" s="12" t="s">
        <v>2033</v>
      </c>
      <c r="B1200" s="8">
        <v>162.65528827215101</v>
      </c>
      <c r="C1200" s="12">
        <v>73.248937311354695</v>
      </c>
      <c r="D1200" s="8">
        <v>1.15093799393411</v>
      </c>
      <c r="E1200" s="12">
        <v>5.6412501292647703E-3</v>
      </c>
      <c r="F1200" s="8" t="s">
        <v>2034</v>
      </c>
      <c r="G1200" s="12" t="s">
        <v>2035</v>
      </c>
      <c r="H1200" s="12">
        <v>1</v>
      </c>
      <c r="I1200" s="13" t="str">
        <f>HYPERLINK("http://www.ncbi.nlm.nih.gov/gene/55286", "55286")</f>
        <v>55286</v>
      </c>
      <c r="J1200" s="12" t="s">
        <v>12521</v>
      </c>
      <c r="K1200" s="12" t="s">
        <v>12522</v>
      </c>
      <c r="L1200" s="13" t="str">
        <f>HYPERLINK("http://asia.ensembl.org/Homo_sapiens/Gene/Summary?g=ENSG00000154274", "ENSG00000154274")</f>
        <v>ENSG00000154274</v>
      </c>
      <c r="M1200" s="12" t="s">
        <v>12523</v>
      </c>
      <c r="N1200" s="12" t="s">
        <v>12524</v>
      </c>
    </row>
    <row r="1201" spans="1:14">
      <c r="A1201" s="12" t="s">
        <v>6689</v>
      </c>
      <c r="B1201" s="8">
        <v>1951.15122132231</v>
      </c>
      <c r="C1201" s="12">
        <v>878.75979564456804</v>
      </c>
      <c r="D1201" s="8">
        <v>1.15078482510937</v>
      </c>
      <c r="E1201" s="12">
        <v>1.3719406474720401E-3</v>
      </c>
      <c r="F1201" s="8" t="s">
        <v>6690</v>
      </c>
      <c r="G1201" s="12" t="s">
        <v>6691</v>
      </c>
      <c r="H1201" s="12">
        <v>1</v>
      </c>
      <c r="I1201" s="13" t="str">
        <f>HYPERLINK("http://www.ncbi.nlm.nih.gov/gene/26224", "26224")</f>
        <v>26224</v>
      </c>
      <c r="J1201" s="13" t="str">
        <f>HYPERLINK("http://www.ncbi.nlm.nih.gov/nuccore/NM_012158", "NM_012158")</f>
        <v>NM_012158</v>
      </c>
      <c r="K1201" s="12" t="s">
        <v>6692</v>
      </c>
      <c r="L1201" s="13" t="str">
        <f>HYPERLINK("http://asia.ensembl.org/Homo_sapiens/Gene/Summary?g=ENSG00000005812", "ENSG00000005812")</f>
        <v>ENSG00000005812</v>
      </c>
      <c r="M1201" s="12" t="s">
        <v>14242</v>
      </c>
      <c r="N1201" s="12" t="s">
        <v>14243</v>
      </c>
    </row>
    <row r="1202" spans="1:14">
      <c r="A1202" s="12" t="s">
        <v>10704</v>
      </c>
      <c r="B1202" s="8">
        <v>1246.6449995985199</v>
      </c>
      <c r="C1202" s="12">
        <v>561.57518605371797</v>
      </c>
      <c r="D1202" s="8">
        <v>1.1504996003675201</v>
      </c>
      <c r="E1202" s="12">
        <v>4.0557839408809698E-3</v>
      </c>
      <c r="F1202" s="8" t="s">
        <v>5308</v>
      </c>
      <c r="G1202" s="12" t="s">
        <v>5309</v>
      </c>
      <c r="H1202" s="12">
        <v>1</v>
      </c>
      <c r="I1202" s="13" t="str">
        <f>HYPERLINK("http://www.ncbi.nlm.nih.gov/gene/64421", "64421")</f>
        <v>64421</v>
      </c>
      <c r="J1202" s="12" t="s">
        <v>13679</v>
      </c>
      <c r="K1202" s="12" t="s">
        <v>13680</v>
      </c>
      <c r="L1202" s="13" t="str">
        <f>HYPERLINK("http://asia.ensembl.org/Homo_sapiens/Gene/Summary?g=ENSG00000152457", "ENSG00000152457")</f>
        <v>ENSG00000152457</v>
      </c>
      <c r="M1202" s="12" t="s">
        <v>13681</v>
      </c>
      <c r="N1202" s="12" t="s">
        <v>13682</v>
      </c>
    </row>
    <row r="1203" spans="1:14">
      <c r="A1203" s="12" t="s">
        <v>9216</v>
      </c>
      <c r="B1203" s="8">
        <v>188.65689444544401</v>
      </c>
      <c r="C1203" s="12">
        <v>84.985181333658801</v>
      </c>
      <c r="D1203" s="8">
        <v>1.15048161529431</v>
      </c>
      <c r="E1203" s="12">
        <v>1.21874332207127E-3</v>
      </c>
      <c r="F1203" s="8" t="s">
        <v>9217</v>
      </c>
      <c r="G1203" s="12" t="s">
        <v>9218</v>
      </c>
      <c r="H1203" s="12">
        <v>1</v>
      </c>
      <c r="I1203" s="13" t="str">
        <f>HYPERLINK("http://www.ncbi.nlm.nih.gov/gene/219333", "219333")</f>
        <v>219333</v>
      </c>
      <c r="J1203" s="13" t="str">
        <f>HYPERLINK("http://www.ncbi.nlm.nih.gov/nuccore/NM_182488", "NM_182488")</f>
        <v>NM_182488</v>
      </c>
      <c r="K1203" s="12" t="s">
        <v>9219</v>
      </c>
      <c r="L1203" s="13" t="str">
        <f>HYPERLINK("http://asia.ensembl.org/Homo_sapiens/Gene/Summary?g=ENSG00000152484", "ENSG00000152484")</f>
        <v>ENSG00000152484</v>
      </c>
      <c r="M1203" s="12" t="s">
        <v>15017</v>
      </c>
      <c r="N1203" s="12" t="s">
        <v>15018</v>
      </c>
    </row>
    <row r="1204" spans="1:14">
      <c r="A1204" s="12" t="s">
        <v>9697</v>
      </c>
      <c r="B1204" s="8">
        <v>1018.84154080337</v>
      </c>
      <c r="C1204" s="12">
        <v>459.01667547224503</v>
      </c>
      <c r="D1204" s="8">
        <v>1.15031121741265</v>
      </c>
      <c r="E1204" s="12">
        <v>1.10751051151479E-2</v>
      </c>
      <c r="F1204" s="8" t="s">
        <v>9698</v>
      </c>
      <c r="G1204" s="12" t="s">
        <v>9699</v>
      </c>
      <c r="H1204" s="12">
        <v>1</v>
      </c>
      <c r="I1204" s="13" t="str">
        <f>HYPERLINK("http://www.ncbi.nlm.nih.gov/gene/26091", "26091")</f>
        <v>26091</v>
      </c>
      <c r="J1204" s="12" t="s">
        <v>15164</v>
      </c>
      <c r="K1204" s="12" t="s">
        <v>15165</v>
      </c>
      <c r="L1204" s="13" t="str">
        <f>HYPERLINK("http://asia.ensembl.org/Homo_sapiens/Gene/Summary?g=ENSG00000148634", "ENSG00000148634")</f>
        <v>ENSG00000148634</v>
      </c>
      <c r="M1204" s="12" t="s">
        <v>15166</v>
      </c>
      <c r="N1204" s="12" t="s">
        <v>15167</v>
      </c>
    </row>
    <row r="1205" spans="1:14">
      <c r="A1205" s="12" t="s">
        <v>10694</v>
      </c>
      <c r="B1205" s="8">
        <v>4168.6420554143897</v>
      </c>
      <c r="C1205" s="12">
        <v>1878.80834051032</v>
      </c>
      <c r="D1205" s="8">
        <v>1.1497595958090601</v>
      </c>
      <c r="E1205" s="12">
        <v>4.1061734245062802E-3</v>
      </c>
      <c r="F1205" s="8" t="s">
        <v>2502</v>
      </c>
      <c r="G1205" s="12" t="s">
        <v>2503</v>
      </c>
      <c r="H1205" s="12">
        <v>1</v>
      </c>
      <c r="I1205" s="13" t="str">
        <f>HYPERLINK("http://www.ncbi.nlm.nih.gov/gene/10228", "10228")</f>
        <v>10228</v>
      </c>
      <c r="J1205" s="13" t="str">
        <f>HYPERLINK("http://www.ncbi.nlm.nih.gov/nuccore/NM_005819", "NM_005819")</f>
        <v>NM_005819</v>
      </c>
      <c r="K1205" s="12" t="s">
        <v>2504</v>
      </c>
      <c r="L1205" s="13" t="str">
        <f>HYPERLINK("http://asia.ensembl.org/Homo_sapiens/Gene/Summary?g=ENSG00000135823", "ENSG00000135823")</f>
        <v>ENSG00000135823</v>
      </c>
      <c r="M1205" s="12" t="s">
        <v>15725</v>
      </c>
      <c r="N1205" s="12" t="s">
        <v>15726</v>
      </c>
    </row>
    <row r="1206" spans="1:14">
      <c r="A1206" s="12" t="s">
        <v>10739</v>
      </c>
      <c r="B1206" s="8">
        <v>8834.2732562532801</v>
      </c>
      <c r="C1206" s="12">
        <v>3981.7344684239301</v>
      </c>
      <c r="D1206" s="8">
        <v>1.14971444295078</v>
      </c>
      <c r="E1206" s="12">
        <v>1.15239215184352E-2</v>
      </c>
      <c r="F1206" s="8" t="s">
        <v>5809</v>
      </c>
      <c r="G1206" s="12" t="s">
        <v>15794</v>
      </c>
      <c r="H1206" s="12">
        <v>1</v>
      </c>
      <c r="I1206" s="13" t="str">
        <f>HYPERLINK("http://www.ncbi.nlm.nih.gov/gene/6542", "6542")</f>
        <v>6542</v>
      </c>
      <c r="J1206" s="12" t="s">
        <v>15795</v>
      </c>
      <c r="K1206" s="12" t="s">
        <v>15796</v>
      </c>
      <c r="L1206" s="13" t="str">
        <f>HYPERLINK("http://asia.ensembl.org/Homo_sapiens/Gene/Summary?g=ENSG00000003989", "ENSG00000003989")</f>
        <v>ENSG00000003989</v>
      </c>
      <c r="M1206" s="12" t="s">
        <v>15797</v>
      </c>
      <c r="N1206" s="12" t="s">
        <v>15798</v>
      </c>
    </row>
    <row r="1207" spans="1:14">
      <c r="A1207" s="12" t="s">
        <v>11198</v>
      </c>
      <c r="B1207" s="8">
        <v>326.94159177616098</v>
      </c>
      <c r="C1207" s="12">
        <v>147.36730584392501</v>
      </c>
      <c r="D1207" s="8">
        <v>1.1496164297996101</v>
      </c>
      <c r="E1207" s="12">
        <v>3.2056212834250399E-2</v>
      </c>
      <c r="F1207" s="8" t="s">
        <v>38</v>
      </c>
      <c r="G1207" s="12" t="s">
        <v>38</v>
      </c>
      <c r="H1207" s="12">
        <v>1</v>
      </c>
      <c r="I1207" s="12" t="s">
        <v>38</v>
      </c>
      <c r="J1207" s="12" t="s">
        <v>38</v>
      </c>
      <c r="K1207" s="12" t="s">
        <v>38</v>
      </c>
      <c r="L1207" s="13" t="str">
        <f>HYPERLINK("http://asia.ensembl.org/Homo_sapiens/Gene/Summary?g=ENSG00000166411", "ENSG00000166411")</f>
        <v>ENSG00000166411</v>
      </c>
      <c r="M1207" s="12" t="s">
        <v>11199</v>
      </c>
      <c r="N1207" s="12" t="s">
        <v>16030</v>
      </c>
    </row>
    <row r="1208" spans="1:14">
      <c r="A1208" s="12" t="s">
        <v>9649</v>
      </c>
      <c r="B1208" s="8">
        <v>16384.039293775098</v>
      </c>
      <c r="C1208" s="12">
        <v>7385.7975835870002</v>
      </c>
      <c r="D1208" s="8">
        <v>1.1494654510097899</v>
      </c>
      <c r="E1208" s="12">
        <v>2.2186266084203501E-4</v>
      </c>
      <c r="F1208" s="8" t="s">
        <v>9650</v>
      </c>
      <c r="G1208" s="12" t="s">
        <v>9651</v>
      </c>
      <c r="H1208" s="12">
        <v>1</v>
      </c>
      <c r="I1208" s="13" t="str">
        <f>HYPERLINK("http://www.ncbi.nlm.nih.gov/gene/3157", "3157")</f>
        <v>3157</v>
      </c>
      <c r="J1208" s="12" t="s">
        <v>15146</v>
      </c>
      <c r="K1208" s="12" t="s">
        <v>15147</v>
      </c>
      <c r="L1208" s="13" t="str">
        <f>HYPERLINK("http://asia.ensembl.org/Homo_sapiens/Gene/Summary?g=ENSG00000112972", "ENSG00000112972")</f>
        <v>ENSG00000112972</v>
      </c>
      <c r="M1208" s="12" t="s">
        <v>15148</v>
      </c>
      <c r="N1208" s="12" t="s">
        <v>15149</v>
      </c>
    </row>
    <row r="1209" spans="1:14">
      <c r="A1209" s="12" t="s">
        <v>8019</v>
      </c>
      <c r="B1209" s="8">
        <v>1528.04645377271</v>
      </c>
      <c r="C1209" s="12">
        <v>688.97196397876905</v>
      </c>
      <c r="D1209" s="8">
        <v>1.14917122075855</v>
      </c>
      <c r="E1209" s="12">
        <v>2.5999827740758401E-3</v>
      </c>
      <c r="F1209" s="8" t="s">
        <v>4316</v>
      </c>
      <c r="G1209" s="12" t="s">
        <v>4317</v>
      </c>
      <c r="H1209" s="12">
        <v>1</v>
      </c>
      <c r="I1209" s="13" t="str">
        <f>HYPERLINK("http://www.ncbi.nlm.nih.gov/gene/51111", "51111")</f>
        <v>51111</v>
      </c>
      <c r="J1209" s="13" t="str">
        <f>HYPERLINK("http://www.ncbi.nlm.nih.gov/nuccore/NM_017635", "NM_017635")</f>
        <v>NM_017635</v>
      </c>
      <c r="K1209" s="12" t="s">
        <v>4318</v>
      </c>
      <c r="L1209" s="13" t="str">
        <f>HYPERLINK("http://asia.ensembl.org/Homo_sapiens/Gene/Summary?g=ENSG00000110066", "ENSG00000110066")</f>
        <v>ENSG00000110066</v>
      </c>
      <c r="M1209" s="12" t="s">
        <v>13193</v>
      </c>
      <c r="N1209" s="12" t="s">
        <v>13194</v>
      </c>
    </row>
    <row r="1210" spans="1:14">
      <c r="A1210" s="12" t="s">
        <v>10315</v>
      </c>
      <c r="B1210" s="8">
        <v>622.91679704529201</v>
      </c>
      <c r="C1210" s="12">
        <v>280.95183694782497</v>
      </c>
      <c r="D1210" s="8">
        <v>1.14871664232987</v>
      </c>
      <c r="E1210" s="12">
        <v>1.0842103561716001E-2</v>
      </c>
      <c r="F1210" s="8" t="s">
        <v>10316</v>
      </c>
      <c r="G1210" s="12" t="s">
        <v>10317</v>
      </c>
      <c r="H1210" s="12">
        <v>1</v>
      </c>
      <c r="I1210" s="13" t="str">
        <f>HYPERLINK("http://www.ncbi.nlm.nih.gov/gene/51091", "51091")</f>
        <v>51091</v>
      </c>
      <c r="J1210" s="13" t="str">
        <f>HYPERLINK("http://www.ncbi.nlm.nih.gov/nuccore/NM_016955", "NM_016955")</f>
        <v>NM_016955</v>
      </c>
      <c r="K1210" s="12" t="s">
        <v>10318</v>
      </c>
      <c r="L1210" s="13" t="str">
        <f>HYPERLINK("http://asia.ensembl.org/Homo_sapiens/Gene/Summary?g=ENSG00000109618", "ENSG00000109618")</f>
        <v>ENSG00000109618</v>
      </c>
      <c r="M1210" s="12" t="s">
        <v>15391</v>
      </c>
      <c r="N1210" s="12" t="s">
        <v>15392</v>
      </c>
    </row>
    <row r="1211" spans="1:14">
      <c r="A1211" s="12" t="s">
        <v>1928</v>
      </c>
      <c r="B1211" s="8">
        <v>4917.9507440072803</v>
      </c>
      <c r="C1211" s="12">
        <v>2218.4624268382699</v>
      </c>
      <c r="D1211" s="8">
        <v>1.14849716657068</v>
      </c>
      <c r="E1211" s="12">
        <v>8.0579178026549802E-3</v>
      </c>
      <c r="F1211" s="8" t="s">
        <v>1929</v>
      </c>
      <c r="G1211" s="12" t="s">
        <v>1930</v>
      </c>
      <c r="H1211" s="12">
        <v>1</v>
      </c>
      <c r="I1211" s="13" t="str">
        <f>HYPERLINK("http://www.ncbi.nlm.nih.gov/gene/83480", "83480")</f>
        <v>83480</v>
      </c>
      <c r="J1211" s="12" t="s">
        <v>12479</v>
      </c>
      <c r="K1211" s="12" t="s">
        <v>12480</v>
      </c>
      <c r="L1211" s="13" t="str">
        <f>HYPERLINK("http://asia.ensembl.org/Homo_sapiens/Gene/Summary?g=ENSG00000110060", "ENSG00000110060")</f>
        <v>ENSG00000110060</v>
      </c>
      <c r="M1211" s="12" t="s">
        <v>12481</v>
      </c>
      <c r="N1211" s="12" t="s">
        <v>12482</v>
      </c>
    </row>
    <row r="1212" spans="1:14">
      <c r="A1212" s="12" t="s">
        <v>3544</v>
      </c>
      <c r="B1212" s="8">
        <v>1906.95836339688</v>
      </c>
      <c r="C1212" s="12">
        <v>860.55715670731195</v>
      </c>
      <c r="D1212" s="8">
        <v>1.1479304222829501</v>
      </c>
      <c r="E1212" s="12">
        <v>2.6938440493380002E-3</v>
      </c>
      <c r="F1212" s="8" t="s">
        <v>1008</v>
      </c>
      <c r="G1212" s="12" t="s">
        <v>135</v>
      </c>
      <c r="H1212" s="12">
        <v>1</v>
      </c>
      <c r="I1212" s="13" t="str">
        <f>HYPERLINK("http://www.ncbi.nlm.nih.gov/gene/1836", "1836")</f>
        <v>1836</v>
      </c>
      <c r="J1212" s="13" t="str">
        <f>HYPERLINK("http://www.ncbi.nlm.nih.gov/nuccore/NM_000112", "NM_000112")</f>
        <v>NM_000112</v>
      </c>
      <c r="K1212" s="12" t="s">
        <v>1009</v>
      </c>
      <c r="L1212" s="13" t="str">
        <f>HYPERLINK("http://asia.ensembl.org/Homo_sapiens/Gene/Summary?g=ENSG00000155850", "ENSG00000155850")</f>
        <v>ENSG00000155850</v>
      </c>
      <c r="M1212" s="12" t="s">
        <v>13041</v>
      </c>
      <c r="N1212" s="12" t="s">
        <v>13042</v>
      </c>
    </row>
    <row r="1213" spans="1:14">
      <c r="A1213" s="12" t="s">
        <v>1630</v>
      </c>
      <c r="B1213" s="8">
        <v>31934.693982070701</v>
      </c>
      <c r="C1213" s="12">
        <v>14412.628366295399</v>
      </c>
      <c r="D1213" s="8">
        <v>1.14779116846437</v>
      </c>
      <c r="E1213" s="12">
        <v>1.53210487569233E-2</v>
      </c>
      <c r="F1213" s="8" t="s">
        <v>1631</v>
      </c>
      <c r="G1213" s="12" t="s">
        <v>1632</v>
      </c>
      <c r="H1213" s="12">
        <v>1</v>
      </c>
      <c r="I1213" s="13" t="str">
        <f>HYPERLINK("http://www.ncbi.nlm.nih.gov/gene/4691", "4691")</f>
        <v>4691</v>
      </c>
      <c r="J1213" s="13" t="str">
        <f>HYPERLINK("http://www.ncbi.nlm.nih.gov/nuccore/NM_005381", "NM_005381")</f>
        <v>NM_005381</v>
      </c>
      <c r="K1213" s="12" t="s">
        <v>1633</v>
      </c>
      <c r="L1213" s="13" t="str">
        <f>HYPERLINK("http://asia.ensembl.org/Homo_sapiens/Gene/Summary?g=ENSG00000115053", "ENSG00000115053")</f>
        <v>ENSG00000115053</v>
      </c>
      <c r="M1213" s="12" t="s">
        <v>12377</v>
      </c>
      <c r="N1213" s="12" t="s">
        <v>12378</v>
      </c>
    </row>
    <row r="1214" spans="1:14">
      <c r="A1214" s="12" t="s">
        <v>6668</v>
      </c>
      <c r="B1214" s="8">
        <v>999.74470779208798</v>
      </c>
      <c r="C1214" s="12">
        <v>451.21838010785598</v>
      </c>
      <c r="D1214" s="8">
        <v>1.1477339028201099</v>
      </c>
      <c r="E1214" s="12">
        <v>9.7364484790653204E-3</v>
      </c>
      <c r="F1214" s="8" t="s">
        <v>6669</v>
      </c>
      <c r="G1214" s="12" t="s">
        <v>6670</v>
      </c>
      <c r="H1214" s="12">
        <v>1</v>
      </c>
      <c r="I1214" s="13" t="str">
        <f>HYPERLINK("http://www.ncbi.nlm.nih.gov/gene/2589", "2589")</f>
        <v>2589</v>
      </c>
      <c r="J1214" s="13" t="str">
        <f>HYPERLINK("http://www.ncbi.nlm.nih.gov/nuccore/NM_020474", "NM_020474")</f>
        <v>NM_020474</v>
      </c>
      <c r="K1214" s="12" t="s">
        <v>6671</v>
      </c>
      <c r="L1214" s="13" t="str">
        <f>HYPERLINK("http://asia.ensembl.org/Homo_sapiens/Gene/Summary?g=ENSG00000141429", "ENSG00000141429")</f>
        <v>ENSG00000141429</v>
      </c>
      <c r="M1214" s="12" t="s">
        <v>14232</v>
      </c>
      <c r="N1214" s="12" t="s">
        <v>14233</v>
      </c>
    </row>
    <row r="1215" spans="1:14">
      <c r="A1215" s="12" t="s">
        <v>3476</v>
      </c>
      <c r="B1215" s="8">
        <v>433.01882661951998</v>
      </c>
      <c r="C1215" s="12">
        <v>195.46367802262699</v>
      </c>
      <c r="D1215" s="8">
        <v>1.1475292071545899</v>
      </c>
      <c r="E1215" s="12">
        <v>1.6298750986578799E-2</v>
      </c>
      <c r="F1215" s="8" t="s">
        <v>3477</v>
      </c>
      <c r="G1215" s="12" t="s">
        <v>3478</v>
      </c>
      <c r="H1215" s="12">
        <v>1</v>
      </c>
      <c r="I1215" s="13" t="str">
        <f>HYPERLINK("http://www.ncbi.nlm.nih.gov/gene/64282", "64282")</f>
        <v>64282</v>
      </c>
      <c r="J1215" s="12" t="s">
        <v>13004</v>
      </c>
      <c r="K1215" s="12" t="s">
        <v>13005</v>
      </c>
      <c r="L1215" s="13" t="str">
        <f>HYPERLINK("http://asia.ensembl.org/Homo_sapiens/Gene/Summary?g=ENSG00000121274", "ENSG00000121274")</f>
        <v>ENSG00000121274</v>
      </c>
      <c r="M1215" s="12" t="s">
        <v>13006</v>
      </c>
      <c r="N1215" s="12" t="s">
        <v>13007</v>
      </c>
    </row>
    <row r="1216" spans="1:14">
      <c r="A1216" s="12" t="s">
        <v>10762</v>
      </c>
      <c r="B1216" s="8">
        <v>738.47764226627305</v>
      </c>
      <c r="C1216" s="12">
        <v>333.53714376394697</v>
      </c>
      <c r="D1216" s="8">
        <v>1.1467068099334801</v>
      </c>
      <c r="E1216" s="12">
        <v>4.7676879065323601E-3</v>
      </c>
      <c r="F1216" s="8" t="s">
        <v>10763</v>
      </c>
      <c r="G1216" s="12" t="s">
        <v>10764</v>
      </c>
      <c r="H1216" s="12">
        <v>1</v>
      </c>
      <c r="I1216" s="13" t="str">
        <f>HYPERLINK("http://www.ncbi.nlm.nih.gov/gene/56888", "56888")</f>
        <v>56888</v>
      </c>
      <c r="J1216" s="13" t="str">
        <f>HYPERLINK("http://www.ncbi.nlm.nih.gov/nuccore/NM_020122", "NM_020122")</f>
        <v>NM_020122</v>
      </c>
      <c r="K1216" s="12" t="s">
        <v>10765</v>
      </c>
      <c r="L1216" s="13" t="str">
        <f>HYPERLINK("http://asia.ensembl.org/Homo_sapiens/Gene/Summary?g=ENSG00000176407", "ENSG00000176407")</f>
        <v>ENSG00000176407</v>
      </c>
      <c r="M1216" s="12" t="s">
        <v>15839</v>
      </c>
      <c r="N1216" s="12" t="s">
        <v>15840</v>
      </c>
    </row>
    <row r="1217" spans="1:14">
      <c r="A1217" s="12" t="s">
        <v>2880</v>
      </c>
      <c r="B1217" s="8">
        <v>349.978457028116</v>
      </c>
      <c r="C1217" s="12">
        <v>158.086214307369</v>
      </c>
      <c r="D1217" s="8">
        <v>1.1465545545709901</v>
      </c>
      <c r="E1217" s="12">
        <v>5.93357823495825E-3</v>
      </c>
      <c r="F1217" s="8" t="s">
        <v>2881</v>
      </c>
      <c r="G1217" s="12" t="s">
        <v>2882</v>
      </c>
      <c r="H1217" s="12">
        <v>1</v>
      </c>
      <c r="I1217" s="13" t="str">
        <f>HYPERLINK("http://www.ncbi.nlm.nih.gov/gene/26031", "26031")</f>
        <v>26031</v>
      </c>
      <c r="J1217" s="12" t="s">
        <v>12824</v>
      </c>
      <c r="K1217" s="12" t="s">
        <v>12825</v>
      </c>
      <c r="L1217" s="13" t="str">
        <f>HYPERLINK("http://asia.ensembl.org/Homo_sapiens/Gene/Summary?g=ENSG00000070882", "ENSG00000070882")</f>
        <v>ENSG00000070882</v>
      </c>
      <c r="M1217" s="12" t="s">
        <v>12826</v>
      </c>
      <c r="N1217" s="12" t="s">
        <v>12827</v>
      </c>
    </row>
    <row r="1218" spans="1:14">
      <c r="A1218" s="12" t="s">
        <v>10785</v>
      </c>
      <c r="B1218" s="8">
        <v>2579.3116004304102</v>
      </c>
      <c r="C1218" s="12">
        <v>1165.87714339748</v>
      </c>
      <c r="D1218" s="8">
        <v>1.1455703024597299</v>
      </c>
      <c r="E1218" s="12">
        <v>1.53265481861945E-2</v>
      </c>
      <c r="F1218" s="8" t="s">
        <v>2011</v>
      </c>
      <c r="G1218" s="12" t="s">
        <v>2012</v>
      </c>
      <c r="H1218" s="12">
        <v>1</v>
      </c>
      <c r="I1218" s="13" t="str">
        <f>HYPERLINK("http://www.ncbi.nlm.nih.gov/gene/27252", "27252")</f>
        <v>27252</v>
      </c>
      <c r="J1218" s="13" t="str">
        <f>HYPERLINK("http://www.ncbi.nlm.nih.gov/nuccore/NM_014458", "NM_014458")</f>
        <v>NM_014458</v>
      </c>
      <c r="K1218" s="12" t="s">
        <v>2013</v>
      </c>
      <c r="L1218" s="13" t="str">
        <f>HYPERLINK("http://asia.ensembl.org/Homo_sapiens/Gene/Summary?g=ENSG00000076321", "ENSG00000076321")</f>
        <v>ENSG00000076321</v>
      </c>
      <c r="M1218" s="12" t="s">
        <v>15881</v>
      </c>
      <c r="N1218" s="12" t="s">
        <v>2014</v>
      </c>
    </row>
    <row r="1219" spans="1:14">
      <c r="A1219" s="12" t="s">
        <v>714</v>
      </c>
      <c r="B1219" s="8">
        <v>4996.5239049141601</v>
      </c>
      <c r="C1219" s="12">
        <v>2258.87181646013</v>
      </c>
      <c r="D1219" s="8">
        <v>1.14532235218951</v>
      </c>
      <c r="E1219" s="12">
        <v>1.77225778118323E-3</v>
      </c>
      <c r="F1219" s="8" t="s">
        <v>715</v>
      </c>
      <c r="G1219" s="12" t="s">
        <v>716</v>
      </c>
      <c r="H1219" s="12">
        <v>1</v>
      </c>
      <c r="I1219" s="13" t="str">
        <f>HYPERLINK("http://www.ncbi.nlm.nih.gov/gene/55761", "55761")</f>
        <v>55761</v>
      </c>
      <c r="J1219" s="13" t="str">
        <f>HYPERLINK("http://www.ncbi.nlm.nih.gov/nuccore/NM_018259", "NM_018259")</f>
        <v>NM_018259</v>
      </c>
      <c r="K1219" s="12" t="s">
        <v>717</v>
      </c>
      <c r="L1219" s="13" t="str">
        <f>HYPERLINK("http://asia.ensembl.org/Homo_sapiens/Gene/Summary?g=ENSG00000052841", "ENSG00000052841")</f>
        <v>ENSG00000052841</v>
      </c>
      <c r="M1219" s="12" t="s">
        <v>12085</v>
      </c>
      <c r="N1219" s="12" t="s">
        <v>12086</v>
      </c>
    </row>
    <row r="1220" spans="1:14">
      <c r="A1220" s="12" t="s">
        <v>7781</v>
      </c>
      <c r="B1220" s="8">
        <v>766.17216631266797</v>
      </c>
      <c r="C1220" s="12">
        <v>346.46154258164</v>
      </c>
      <c r="D1220" s="8">
        <v>1.1449733948193299</v>
      </c>
      <c r="E1220" s="12">
        <v>3.9956860689549997E-3</v>
      </c>
      <c r="F1220" s="8" t="s">
        <v>7782</v>
      </c>
      <c r="G1220" s="12" t="s">
        <v>283</v>
      </c>
      <c r="H1220" s="12">
        <v>1</v>
      </c>
      <c r="I1220" s="13" t="str">
        <f>HYPERLINK("http://www.ncbi.nlm.nih.gov/gene/29957", "29957")</f>
        <v>29957</v>
      </c>
      <c r="J1220" s="12" t="s">
        <v>14550</v>
      </c>
      <c r="K1220" s="12" t="s">
        <v>14551</v>
      </c>
      <c r="L1220" s="13" t="str">
        <f>HYPERLINK("http://asia.ensembl.org/Homo_sapiens/Gene/Summary?g=ENSG00000085491", "ENSG00000085491")</f>
        <v>ENSG00000085491</v>
      </c>
      <c r="M1220" s="12" t="s">
        <v>14552</v>
      </c>
      <c r="N1220" s="12" t="s">
        <v>14553</v>
      </c>
    </row>
    <row r="1221" spans="1:14">
      <c r="A1221" s="12" t="s">
        <v>4658</v>
      </c>
      <c r="B1221" s="8">
        <v>315.01541828532601</v>
      </c>
      <c r="C1221" s="12">
        <v>142.45755328971899</v>
      </c>
      <c r="D1221" s="8">
        <v>1.1448903250810301</v>
      </c>
      <c r="E1221" s="12">
        <v>1.7111672120853801E-2</v>
      </c>
      <c r="F1221" s="8" t="s">
        <v>4659</v>
      </c>
      <c r="G1221" s="12" t="s">
        <v>4660</v>
      </c>
      <c r="H1221" s="12">
        <v>1</v>
      </c>
      <c r="I1221" s="13" t="str">
        <f>HYPERLINK("http://www.ncbi.nlm.nih.gov/gene/5412", "5412")</f>
        <v>5412</v>
      </c>
      <c r="J1221" s="13" t="str">
        <f>HYPERLINK("http://www.ncbi.nlm.nih.gov/nuccore/NM_007106", "NM_007106")</f>
        <v>NM_007106</v>
      </c>
      <c r="K1221" s="12" t="s">
        <v>4661</v>
      </c>
      <c r="L1221" s="13" t="str">
        <f>HYPERLINK("http://asia.ensembl.org/Homo_sapiens/Gene/Summary?g=ENSG00000122042", "ENSG00000122042")</f>
        <v>ENSG00000122042</v>
      </c>
      <c r="M1221" s="12" t="s">
        <v>4662</v>
      </c>
      <c r="N1221" s="12" t="s">
        <v>4663</v>
      </c>
    </row>
    <row r="1222" spans="1:14">
      <c r="A1222" s="12" t="s">
        <v>228</v>
      </c>
      <c r="B1222" s="8">
        <v>13134.830394357799</v>
      </c>
      <c r="C1222" s="12">
        <v>5940.9248095128796</v>
      </c>
      <c r="D1222" s="8">
        <v>1.14463813706006</v>
      </c>
      <c r="E1222" s="12">
        <v>1.2294982920521499E-3</v>
      </c>
      <c r="F1222" s="8" t="s">
        <v>229</v>
      </c>
      <c r="G1222" s="12" t="s">
        <v>230</v>
      </c>
      <c r="H1222" s="12">
        <v>1</v>
      </c>
      <c r="I1222" s="13" t="str">
        <f>HYPERLINK("http://www.ncbi.nlm.nih.gov/gene/8543", "8543")</f>
        <v>8543</v>
      </c>
      <c r="J1222" s="13" t="str">
        <f>HYPERLINK("http://www.ncbi.nlm.nih.gov/nuccore/NM_006769", "NM_006769")</f>
        <v>NM_006769</v>
      </c>
      <c r="K1222" s="12" t="s">
        <v>231</v>
      </c>
      <c r="L1222" s="13" t="str">
        <f>HYPERLINK("http://asia.ensembl.org/Homo_sapiens/Gene/Summary?g=ENSG00000143013", "ENSG00000143013")</f>
        <v>ENSG00000143013</v>
      </c>
      <c r="M1222" s="12" t="s">
        <v>11904</v>
      </c>
      <c r="N1222" s="12" t="s">
        <v>11905</v>
      </c>
    </row>
    <row r="1223" spans="1:14">
      <c r="A1223" s="12" t="s">
        <v>10488</v>
      </c>
      <c r="B1223" s="8">
        <v>735.67686693957</v>
      </c>
      <c r="C1223" s="12">
        <v>332.795124727428</v>
      </c>
      <c r="D1223" s="8">
        <v>1.14443792819657</v>
      </c>
      <c r="E1223" s="12">
        <v>8.5303727678444508E-3</v>
      </c>
      <c r="F1223" s="8" t="s">
        <v>1140</v>
      </c>
      <c r="G1223" s="12" t="s">
        <v>15461</v>
      </c>
      <c r="H1223" s="12">
        <v>1</v>
      </c>
      <c r="I1223" s="13" t="str">
        <f>HYPERLINK("http://www.ncbi.nlm.nih.gov/gene/9975", "9975")</f>
        <v>9975</v>
      </c>
      <c r="J1223" s="12" t="s">
        <v>15462</v>
      </c>
      <c r="K1223" s="12" t="s">
        <v>15463</v>
      </c>
      <c r="L1223" s="13" t="str">
        <f>HYPERLINK("http://asia.ensembl.org/Homo_sapiens/Gene/Summary?g=ENSG00000174738", "ENSG00000174738")</f>
        <v>ENSG00000174738</v>
      </c>
      <c r="M1223" s="12" t="s">
        <v>15464</v>
      </c>
      <c r="N1223" s="12" t="s">
        <v>15465</v>
      </c>
    </row>
    <row r="1224" spans="1:14">
      <c r="A1224" s="12" t="s">
        <v>1728</v>
      </c>
      <c r="B1224" s="8">
        <v>4019.4235918588302</v>
      </c>
      <c r="C1224" s="12">
        <v>1818.7753113579799</v>
      </c>
      <c r="D1224" s="8">
        <v>1.14402129986489</v>
      </c>
      <c r="E1224" s="12">
        <v>3.3764291951560699E-3</v>
      </c>
      <c r="F1224" s="8" t="s">
        <v>1729</v>
      </c>
      <c r="G1224" s="12" t="s">
        <v>1730</v>
      </c>
      <c r="H1224" s="12">
        <v>1</v>
      </c>
      <c r="I1224" s="13" t="str">
        <f>HYPERLINK("http://www.ncbi.nlm.nih.gov/gene/23167", "23167")</f>
        <v>23167</v>
      </c>
      <c r="J1224" s="13" t="str">
        <f>HYPERLINK("http://www.ncbi.nlm.nih.gov/nuccore/NM_015137", "NM_015137")</f>
        <v>NM_015137</v>
      </c>
      <c r="K1224" s="12" t="s">
        <v>1731</v>
      </c>
      <c r="L1224" s="13" t="str">
        <f>HYPERLINK("http://asia.ensembl.org/Homo_sapiens/Gene/Summary?g=ENSG00000132294", "ENSG00000132294")</f>
        <v>ENSG00000132294</v>
      </c>
      <c r="M1224" s="12" t="s">
        <v>12399</v>
      </c>
      <c r="N1224" s="12" t="s">
        <v>12400</v>
      </c>
    </row>
    <row r="1225" spans="1:14">
      <c r="A1225" s="12" t="s">
        <v>9676</v>
      </c>
      <c r="B1225" s="8">
        <v>260.33670144539599</v>
      </c>
      <c r="C1225" s="12">
        <v>117.851697797425</v>
      </c>
      <c r="D1225" s="8">
        <v>1.1434061701479199</v>
      </c>
      <c r="E1225" s="12">
        <v>6.0102108457060904E-3</v>
      </c>
      <c r="F1225" s="8" t="s">
        <v>9677</v>
      </c>
      <c r="G1225" s="12" t="s">
        <v>9678</v>
      </c>
      <c r="H1225" s="12">
        <v>1</v>
      </c>
      <c r="I1225" s="13" t="str">
        <f>HYPERLINK("http://www.ncbi.nlm.nih.gov/gene/8747", "8747")</f>
        <v>8747</v>
      </c>
      <c r="J1225" s="13" t="str">
        <f>HYPERLINK("http://www.ncbi.nlm.nih.gov/nuccore/NM_003813", "NM_003813")</f>
        <v>NM_003813</v>
      </c>
      <c r="K1225" s="12" t="s">
        <v>9679</v>
      </c>
      <c r="L1225" s="13" t="str">
        <f>HYPERLINK("http://asia.ensembl.org/Homo_sapiens/Gene/Summary?g=ENSG00000139985", "ENSG00000139985")</f>
        <v>ENSG00000139985</v>
      </c>
      <c r="M1225" s="12" t="s">
        <v>9680</v>
      </c>
      <c r="N1225" s="12" t="s">
        <v>9681</v>
      </c>
    </row>
    <row r="1226" spans="1:14">
      <c r="A1226" s="12" t="s">
        <v>4315</v>
      </c>
      <c r="B1226" s="8">
        <v>1436.1662100148301</v>
      </c>
      <c r="C1226" s="12">
        <v>650.33911703610204</v>
      </c>
      <c r="D1226" s="8">
        <v>1.1429586167355199</v>
      </c>
      <c r="E1226" s="12">
        <v>1.7583485131568699E-3</v>
      </c>
      <c r="F1226" s="8" t="s">
        <v>4316</v>
      </c>
      <c r="G1226" s="12" t="s">
        <v>4317</v>
      </c>
      <c r="H1226" s="12">
        <v>1</v>
      </c>
      <c r="I1226" s="13" t="str">
        <f>HYPERLINK("http://www.ncbi.nlm.nih.gov/gene/51111", "51111")</f>
        <v>51111</v>
      </c>
      <c r="J1226" s="13" t="str">
        <f>HYPERLINK("http://www.ncbi.nlm.nih.gov/nuccore/NM_017635", "NM_017635")</f>
        <v>NM_017635</v>
      </c>
      <c r="K1226" s="12" t="s">
        <v>4318</v>
      </c>
      <c r="L1226" s="13" t="str">
        <f>HYPERLINK("http://asia.ensembl.org/Homo_sapiens/Gene/Summary?g=ENSG00000110066", "ENSG00000110066")</f>
        <v>ENSG00000110066</v>
      </c>
      <c r="M1226" s="12" t="s">
        <v>13193</v>
      </c>
      <c r="N1226" s="12" t="s">
        <v>13194</v>
      </c>
    </row>
    <row r="1227" spans="1:14">
      <c r="A1227" s="12" t="s">
        <v>2581</v>
      </c>
      <c r="B1227" s="8">
        <v>617.78880850648397</v>
      </c>
      <c r="C1227" s="12">
        <v>279.836036145533</v>
      </c>
      <c r="D1227" s="8">
        <v>1.1425319773393601</v>
      </c>
      <c r="E1227" s="12">
        <v>5.6397943704275802E-3</v>
      </c>
      <c r="F1227" s="8" t="s">
        <v>2582</v>
      </c>
      <c r="G1227" s="12" t="s">
        <v>12699</v>
      </c>
      <c r="H1227" s="12">
        <v>1</v>
      </c>
      <c r="I1227" s="13" t="str">
        <f>HYPERLINK("http://www.ncbi.nlm.nih.gov/gene/7042", "7042")</f>
        <v>7042</v>
      </c>
      <c r="J1227" s="12" t="s">
        <v>12700</v>
      </c>
      <c r="K1227" s="12" t="s">
        <v>12701</v>
      </c>
      <c r="L1227" s="13" t="str">
        <f>HYPERLINK("http://asia.ensembl.org/Homo_sapiens/Gene/Summary?g=ENSG00000092969", "ENSG00000092969")</f>
        <v>ENSG00000092969</v>
      </c>
      <c r="M1227" s="12" t="s">
        <v>12702</v>
      </c>
      <c r="N1227" s="12" t="s">
        <v>12703</v>
      </c>
    </row>
    <row r="1228" spans="1:14">
      <c r="A1228" s="12" t="s">
        <v>10212</v>
      </c>
      <c r="B1228" s="8">
        <v>2147.6628422634799</v>
      </c>
      <c r="C1228" s="12">
        <v>972.98680473365005</v>
      </c>
      <c r="D1228" s="8">
        <v>1.1422753800071199</v>
      </c>
      <c r="E1228" s="12">
        <v>1.1466589127972499E-3</v>
      </c>
      <c r="F1228" s="8" t="s">
        <v>422</v>
      </c>
      <c r="G1228" s="12" t="s">
        <v>423</v>
      </c>
      <c r="H1228" s="12">
        <v>1</v>
      </c>
      <c r="I1228" s="13" t="str">
        <f>HYPERLINK("http://www.ncbi.nlm.nih.gov/gene/22902", "22902")</f>
        <v>22902</v>
      </c>
      <c r="J1228" s="13" t="str">
        <f>HYPERLINK("http://www.ncbi.nlm.nih.gov/nuccore/NM_001130709", "NM_001130709")</f>
        <v>NM_001130709</v>
      </c>
      <c r="K1228" s="12" t="s">
        <v>10213</v>
      </c>
      <c r="L1228" s="13" t="str">
        <f>HYPERLINK("http://asia.ensembl.org/Homo_sapiens/Gene/Summary?g=ENSG00000018189", "ENSG00000018189")</f>
        <v>ENSG00000018189</v>
      </c>
      <c r="M1228" s="12" t="s">
        <v>15307</v>
      </c>
      <c r="N1228" s="12" t="s">
        <v>15308</v>
      </c>
    </row>
    <row r="1229" spans="1:14">
      <c r="A1229" s="12" t="s">
        <v>1778</v>
      </c>
      <c r="B1229" s="8">
        <v>6140.4251678163</v>
      </c>
      <c r="C1229" s="12">
        <v>2782.04861641456</v>
      </c>
      <c r="D1229" s="8">
        <v>1.1421909211251999</v>
      </c>
      <c r="E1229" s="12">
        <v>5.6037198860893703E-3</v>
      </c>
      <c r="F1229" s="8" t="s">
        <v>1779</v>
      </c>
      <c r="G1229" s="12" t="s">
        <v>1780</v>
      </c>
      <c r="H1229" s="12">
        <v>1</v>
      </c>
      <c r="I1229" s="13" t="str">
        <f>HYPERLINK("http://www.ncbi.nlm.nih.gov/gene/4170", "4170")</f>
        <v>4170</v>
      </c>
      <c r="J1229" s="12" t="s">
        <v>12412</v>
      </c>
      <c r="K1229" s="12" t="s">
        <v>12413</v>
      </c>
      <c r="L1229" s="13" t="str">
        <f>HYPERLINK("http://asia.ensembl.org/Homo_sapiens/Gene/Summary?g=ENSG00000143384", "ENSG00000143384")</f>
        <v>ENSG00000143384</v>
      </c>
      <c r="M1229" s="12" t="s">
        <v>12414</v>
      </c>
      <c r="N1229" s="12" t="s">
        <v>12415</v>
      </c>
    </row>
    <row r="1230" spans="1:14">
      <c r="A1230" s="12" t="s">
        <v>4698</v>
      </c>
      <c r="B1230" s="8">
        <v>2849.63441261766</v>
      </c>
      <c r="C1230" s="12">
        <v>1291.4724372477001</v>
      </c>
      <c r="D1230" s="8">
        <v>1.1417599902395501</v>
      </c>
      <c r="E1230" s="12">
        <v>4.6661561145597396E-3</v>
      </c>
      <c r="F1230" s="8" t="s">
        <v>4699</v>
      </c>
      <c r="G1230" s="12" t="s">
        <v>4700</v>
      </c>
      <c r="H1230" s="12">
        <v>1</v>
      </c>
      <c r="I1230" s="13" t="str">
        <f>HYPERLINK("http://www.ncbi.nlm.nih.gov/gene/79893", "79893")</f>
        <v>79893</v>
      </c>
      <c r="J1230" s="13" t="str">
        <f>HYPERLINK("http://www.ncbi.nlm.nih.gov/nuccore/NM_024835", "NM_024835")</f>
        <v>NM_024835</v>
      </c>
      <c r="K1230" s="12" t="s">
        <v>4701</v>
      </c>
      <c r="L1230" s="13" t="str">
        <f>HYPERLINK("http://asia.ensembl.org/Homo_sapiens/Gene/Summary?g=ENSG00000275099", "ENSG00000275099")</f>
        <v>ENSG00000275099</v>
      </c>
      <c r="M1230" s="12" t="s">
        <v>13352</v>
      </c>
      <c r="N1230" s="12" t="s">
        <v>13353</v>
      </c>
    </row>
    <row r="1231" spans="1:14">
      <c r="A1231" s="12" t="s">
        <v>2585</v>
      </c>
      <c r="B1231" s="8">
        <v>2111.2498647398602</v>
      </c>
      <c r="C1231" s="12">
        <v>956.85892098914599</v>
      </c>
      <c r="D1231" s="8">
        <v>1.14171919564709</v>
      </c>
      <c r="E1231" s="12">
        <v>4.5329490035679303E-3</v>
      </c>
      <c r="F1231" s="8" t="s">
        <v>2586</v>
      </c>
      <c r="G1231" s="12" t="s">
        <v>2587</v>
      </c>
      <c r="H1231" s="12">
        <v>1</v>
      </c>
      <c r="I1231" s="13" t="str">
        <f>HYPERLINK("http://www.ncbi.nlm.nih.gov/gene/285527", "285527")</f>
        <v>285527</v>
      </c>
      <c r="J1231" s="13" t="str">
        <f>HYPERLINK("http://www.ncbi.nlm.nih.gov/nuccore/NM_015030", "NM_015030")</f>
        <v>NM_015030</v>
      </c>
      <c r="K1231" s="12" t="s">
        <v>2588</v>
      </c>
      <c r="L1231" s="13" t="str">
        <f>HYPERLINK("http://asia.ensembl.org/Homo_sapiens/Gene/Summary?g=ENSG00000075539", "ENSG00000075539")</f>
        <v>ENSG00000075539</v>
      </c>
      <c r="M1231" s="12" t="s">
        <v>12708</v>
      </c>
      <c r="N1231" s="12" t="s">
        <v>12709</v>
      </c>
    </row>
    <row r="1232" spans="1:14">
      <c r="A1232" s="12" t="s">
        <v>1572</v>
      </c>
      <c r="B1232" s="8">
        <v>422.28160571371802</v>
      </c>
      <c r="C1232" s="12">
        <v>191.39094402816099</v>
      </c>
      <c r="D1232" s="8">
        <v>1.1416828377470301</v>
      </c>
      <c r="E1232" s="12">
        <v>3.07799034389336E-3</v>
      </c>
      <c r="F1232" s="8" t="s">
        <v>1573</v>
      </c>
      <c r="G1232" s="12" t="s">
        <v>1574</v>
      </c>
      <c r="H1232" s="12">
        <v>1</v>
      </c>
      <c r="I1232" s="13" t="str">
        <f>HYPERLINK("http://www.ncbi.nlm.nih.gov/gene/23189", "23189")</f>
        <v>23189</v>
      </c>
      <c r="J1232" s="12" t="s">
        <v>12360</v>
      </c>
      <c r="K1232" s="12" t="s">
        <v>12361</v>
      </c>
      <c r="L1232" s="13" t="str">
        <f>HYPERLINK("http://asia.ensembl.org/Homo_sapiens/Gene/Summary?g=ENSG00000107104", "ENSG00000107104")</f>
        <v>ENSG00000107104</v>
      </c>
      <c r="M1232" s="12" t="s">
        <v>12362</v>
      </c>
      <c r="N1232" s="12" t="s">
        <v>12363</v>
      </c>
    </row>
    <row r="1233" spans="1:14">
      <c r="A1233" s="12" t="s">
        <v>3055</v>
      </c>
      <c r="B1233" s="8">
        <v>117.200058362939</v>
      </c>
      <c r="C1233" s="12">
        <v>53.122099789518302</v>
      </c>
      <c r="D1233" s="8">
        <v>1.14158920898125</v>
      </c>
      <c r="E1233" s="12">
        <v>2.41175977823457E-2</v>
      </c>
      <c r="F1233" s="8" t="s">
        <v>3056</v>
      </c>
      <c r="G1233" s="12" t="s">
        <v>319</v>
      </c>
      <c r="H1233" s="12">
        <v>1</v>
      </c>
      <c r="I1233" s="13" t="str">
        <f>HYPERLINK("http://www.ncbi.nlm.nih.gov/gene/26084", "26084")</f>
        <v>26084</v>
      </c>
      <c r="J1233" s="12" t="s">
        <v>12881</v>
      </c>
      <c r="K1233" s="12" t="s">
        <v>12882</v>
      </c>
      <c r="L1233" s="13" t="str">
        <f>HYPERLINK("http://asia.ensembl.org/Homo_sapiens/Gene/Summary?g=ENSG00000114790", "ENSG00000114790")</f>
        <v>ENSG00000114790</v>
      </c>
      <c r="M1233" s="12" t="s">
        <v>12883</v>
      </c>
      <c r="N1233" s="12" t="s">
        <v>12884</v>
      </c>
    </row>
    <row r="1234" spans="1:14">
      <c r="A1234" s="12" t="s">
        <v>5725</v>
      </c>
      <c r="B1234" s="8">
        <v>1586.97525182869</v>
      </c>
      <c r="C1234" s="12">
        <v>719.51061025782701</v>
      </c>
      <c r="D1234" s="8">
        <v>1.14119176323606</v>
      </c>
      <c r="E1234" s="12">
        <v>9.4651405870508996E-3</v>
      </c>
      <c r="F1234" s="8" t="s">
        <v>5726</v>
      </c>
      <c r="G1234" s="12" t="s">
        <v>1883</v>
      </c>
      <c r="H1234" s="12">
        <v>1</v>
      </c>
      <c r="I1234" s="13" t="str">
        <f>HYPERLINK("http://www.ncbi.nlm.nih.gov/gene/6515", "6515")</f>
        <v>6515</v>
      </c>
      <c r="J1234" s="13" t="str">
        <f>HYPERLINK("http://www.ncbi.nlm.nih.gov/nuccore/NM_006931", "NM_006931")</f>
        <v>NM_006931</v>
      </c>
      <c r="K1234" s="12" t="s">
        <v>5727</v>
      </c>
      <c r="L1234" s="13" t="str">
        <f>HYPERLINK("http://asia.ensembl.org/Homo_sapiens/Gene/Summary?g=ENSG00000059804", "ENSG00000059804")</f>
        <v>ENSG00000059804</v>
      </c>
      <c r="M1234" s="12" t="s">
        <v>13897</v>
      </c>
      <c r="N1234" s="12" t="s">
        <v>13898</v>
      </c>
    </row>
    <row r="1235" spans="1:14">
      <c r="A1235" s="12" t="s">
        <v>11070</v>
      </c>
      <c r="B1235" s="8">
        <v>319.662910247654</v>
      </c>
      <c r="C1235" s="12">
        <v>144.93934226163799</v>
      </c>
      <c r="D1235" s="8">
        <v>1.1411021087769999</v>
      </c>
      <c r="E1235" s="12">
        <v>7.8087938068418703E-4</v>
      </c>
      <c r="F1235" s="8" t="s">
        <v>2930</v>
      </c>
      <c r="G1235" s="12" t="s">
        <v>15969</v>
      </c>
      <c r="H1235" s="12">
        <v>1</v>
      </c>
      <c r="I1235" s="13" t="str">
        <f>HYPERLINK("http://www.ncbi.nlm.nih.gov/gene/9906", "9906")</f>
        <v>9906</v>
      </c>
      <c r="J1235" s="13" t="str">
        <f>HYPERLINK("http://www.ncbi.nlm.nih.gov/nuccore/NM_001199787", "NM_001199787")</f>
        <v>NM_001199787</v>
      </c>
      <c r="K1235" s="12" t="s">
        <v>11071</v>
      </c>
      <c r="L1235" s="13" t="str">
        <f>HYPERLINK("http://asia.ensembl.org/Homo_sapiens/Gene/Summary?g=ENSG00000215790", "ENSG00000215790")</f>
        <v>ENSG00000215790</v>
      </c>
      <c r="M1235" s="12" t="s">
        <v>15970</v>
      </c>
      <c r="N1235" s="12" t="s">
        <v>15971</v>
      </c>
    </row>
    <row r="1236" spans="1:14">
      <c r="A1236" s="12" t="s">
        <v>482</v>
      </c>
      <c r="B1236" s="8">
        <v>1053.76650823008</v>
      </c>
      <c r="C1236" s="12">
        <v>478.02598665023203</v>
      </c>
      <c r="D1236" s="8">
        <v>1.1403942786542001</v>
      </c>
      <c r="E1236" s="12">
        <v>2.11497683656389E-3</v>
      </c>
      <c r="F1236" s="8" t="s">
        <v>483</v>
      </c>
      <c r="G1236" s="12" t="s">
        <v>484</v>
      </c>
      <c r="H1236" s="12">
        <v>1</v>
      </c>
      <c r="I1236" s="13" t="str">
        <f>HYPERLINK("http://www.ncbi.nlm.nih.gov/gene/79834", "79834")</f>
        <v>79834</v>
      </c>
      <c r="J1236" s="13" t="str">
        <f>HYPERLINK("http://www.ncbi.nlm.nih.gov/nuccore/NM_024776", "NM_024776")</f>
        <v>NM_024776</v>
      </c>
      <c r="K1236" s="12" t="s">
        <v>485</v>
      </c>
      <c r="L1236" s="13" t="str">
        <f>HYPERLINK("http://asia.ensembl.org/Homo_sapiens/Gene/Summary?g=ENSG00000173517", "ENSG00000173517")</f>
        <v>ENSG00000173517</v>
      </c>
      <c r="M1236" s="12" t="s">
        <v>11997</v>
      </c>
      <c r="N1236" s="12" t="s">
        <v>11998</v>
      </c>
    </row>
    <row r="1237" spans="1:14">
      <c r="A1237" s="12" t="s">
        <v>10195</v>
      </c>
      <c r="B1237" s="8">
        <v>198.956321207896</v>
      </c>
      <c r="C1237" s="12">
        <v>90.263334811919194</v>
      </c>
      <c r="D1237" s="8">
        <v>1.1402397512885101</v>
      </c>
      <c r="E1237" s="12">
        <v>1.18336434575406E-2</v>
      </c>
      <c r="F1237" s="8" t="s">
        <v>10196</v>
      </c>
      <c r="G1237" s="12" t="s">
        <v>10197</v>
      </c>
      <c r="H1237" s="12">
        <v>4</v>
      </c>
      <c r="I1237" s="12" t="s">
        <v>10198</v>
      </c>
      <c r="J1237" s="12" t="s">
        <v>15313</v>
      </c>
      <c r="K1237" s="12" t="s">
        <v>15314</v>
      </c>
      <c r="L1237" s="12" t="s">
        <v>10199</v>
      </c>
      <c r="M1237" s="12" t="s">
        <v>15315</v>
      </c>
      <c r="N1237" s="12" t="s">
        <v>15316</v>
      </c>
    </row>
    <row r="1238" spans="1:14">
      <c r="A1238" s="12" t="s">
        <v>9066</v>
      </c>
      <c r="B1238" s="8">
        <v>13140.0497998631</v>
      </c>
      <c r="C1238" s="12">
        <v>5962.3622655419003</v>
      </c>
      <c r="D1238" s="8">
        <v>1.1400148039641</v>
      </c>
      <c r="E1238" s="12">
        <v>5.5729020117709699E-3</v>
      </c>
      <c r="F1238" s="8" t="s">
        <v>8530</v>
      </c>
      <c r="G1238" s="12" t="s">
        <v>8531</v>
      </c>
      <c r="H1238" s="12">
        <v>1</v>
      </c>
      <c r="I1238" s="13" t="str">
        <f>HYPERLINK("http://www.ncbi.nlm.nih.gov/gene/23186", "23186")</f>
        <v>23186</v>
      </c>
      <c r="J1238" s="13" t="str">
        <f>HYPERLINK("http://www.ncbi.nlm.nih.gov/nuccore/NM_015156", "NM_015156")</f>
        <v>NM_015156</v>
      </c>
      <c r="K1238" s="12" t="s">
        <v>8532</v>
      </c>
      <c r="L1238" s="13" t="str">
        <f>HYPERLINK("http://asia.ensembl.org/Homo_sapiens/Gene/Summary?g=ENSG00000089902", "ENSG00000089902")</f>
        <v>ENSG00000089902</v>
      </c>
      <c r="M1238" s="12" t="s">
        <v>14984</v>
      </c>
      <c r="N1238" s="12" t="s">
        <v>14985</v>
      </c>
    </row>
    <row r="1239" spans="1:14">
      <c r="A1239" s="12" t="s">
        <v>7378</v>
      </c>
      <c r="B1239" s="8">
        <v>899.59718669650601</v>
      </c>
      <c r="C1239" s="12">
        <v>408.28502358118101</v>
      </c>
      <c r="D1239" s="8">
        <v>1.1397025007660699</v>
      </c>
      <c r="E1239" s="12">
        <v>8.7890455088626904E-3</v>
      </c>
      <c r="F1239" s="8" t="s">
        <v>7379</v>
      </c>
      <c r="G1239" s="12" t="s">
        <v>14411</v>
      </c>
      <c r="H1239" s="12">
        <v>4</v>
      </c>
      <c r="I1239" s="12" t="s">
        <v>7380</v>
      </c>
      <c r="J1239" s="12" t="s">
        <v>14412</v>
      </c>
      <c r="K1239" s="12" t="s">
        <v>14413</v>
      </c>
      <c r="L1239" s="12" t="s">
        <v>7381</v>
      </c>
      <c r="M1239" s="12" t="s">
        <v>14414</v>
      </c>
      <c r="N1239" s="12" t="s">
        <v>14415</v>
      </c>
    </row>
    <row r="1240" spans="1:14">
      <c r="A1240" s="12" t="s">
        <v>9505</v>
      </c>
      <c r="B1240" s="8">
        <v>12857.631594426501</v>
      </c>
      <c r="C1240" s="12">
        <v>5836.2280392923003</v>
      </c>
      <c r="D1240" s="8">
        <v>1.13951675938386</v>
      </c>
      <c r="E1240" s="12">
        <v>6.7448125922295599E-3</v>
      </c>
      <c r="F1240" s="8" t="s">
        <v>9506</v>
      </c>
      <c r="G1240" s="12" t="s">
        <v>9507</v>
      </c>
      <c r="H1240" s="12">
        <v>1</v>
      </c>
      <c r="I1240" s="13" t="str">
        <f>HYPERLINK("http://www.ncbi.nlm.nih.gov/gene/57590", "57590")</f>
        <v>57590</v>
      </c>
      <c r="J1240" s="13" t="str">
        <f>HYPERLINK("http://www.ncbi.nlm.nih.gov/nuccore/NM_020830", "NM_020830")</f>
        <v>NM_020830</v>
      </c>
      <c r="K1240" s="12" t="s">
        <v>9508</v>
      </c>
      <c r="L1240" s="13" t="str">
        <f>HYPERLINK("http://asia.ensembl.org/Homo_sapiens/Gene/Summary?g=ENSG00000085449", "ENSG00000085449")</f>
        <v>ENSG00000085449</v>
      </c>
      <c r="M1240" s="12" t="s">
        <v>15058</v>
      </c>
      <c r="N1240" s="12" t="s">
        <v>15059</v>
      </c>
    </row>
    <row r="1241" spans="1:14">
      <c r="A1241" s="12" t="s">
        <v>5134</v>
      </c>
      <c r="B1241" s="8">
        <v>815.20162096083698</v>
      </c>
      <c r="C1241" s="12">
        <v>370.074430918529</v>
      </c>
      <c r="D1241" s="8">
        <v>1.1393414593962099</v>
      </c>
      <c r="E1241" s="12">
        <v>1.18224556642038E-2</v>
      </c>
      <c r="F1241" s="8" t="s">
        <v>5135</v>
      </c>
      <c r="G1241" s="12" t="s">
        <v>5136</v>
      </c>
      <c r="H1241" s="12">
        <v>1</v>
      </c>
      <c r="I1241" s="13" t="str">
        <f>HYPERLINK("http://www.ncbi.nlm.nih.gov/gene/57703", "57703")</f>
        <v>57703</v>
      </c>
      <c r="J1241" s="13" t="str">
        <f>HYPERLINK("http://www.ncbi.nlm.nih.gov/nuccore/NM_020943", "NM_020943")</f>
        <v>NM_020943</v>
      </c>
      <c r="K1241" s="12" t="s">
        <v>5137</v>
      </c>
      <c r="L1241" s="13" t="str">
        <f>HYPERLINK("http://asia.ensembl.org/Homo_sapiens/Gene/Summary?g=ENSG00000163510", "ENSG00000163510")</f>
        <v>ENSG00000163510</v>
      </c>
      <c r="M1241" s="12" t="s">
        <v>13601</v>
      </c>
      <c r="N1241" s="12" t="s">
        <v>13602</v>
      </c>
    </row>
    <row r="1242" spans="1:14">
      <c r="A1242" s="12" t="s">
        <v>4773</v>
      </c>
      <c r="B1242" s="8">
        <v>50283.037032217399</v>
      </c>
      <c r="C1242" s="12">
        <v>22829.6395045887</v>
      </c>
      <c r="D1242" s="8">
        <v>1.1391637107422501</v>
      </c>
      <c r="E1242" s="12">
        <v>5.6561500709456499E-3</v>
      </c>
      <c r="F1242" s="8" t="s">
        <v>4774</v>
      </c>
      <c r="G1242" s="12" t="s">
        <v>13378</v>
      </c>
      <c r="H1242" s="12">
        <v>1</v>
      </c>
      <c r="I1242" s="13" t="str">
        <f>HYPERLINK("http://www.ncbi.nlm.nih.gov/gene/1213", "1213")</f>
        <v>1213</v>
      </c>
      <c r="J1242" s="13" t="str">
        <f>HYPERLINK("http://www.ncbi.nlm.nih.gov/nuccore/NM_004859", "NM_004859")</f>
        <v>NM_004859</v>
      </c>
      <c r="K1242" s="12" t="s">
        <v>4775</v>
      </c>
      <c r="L1242" s="13" t="str">
        <f>HYPERLINK("http://asia.ensembl.org/Homo_sapiens/Gene/Summary?g=ENSG00000141367", "ENSG00000141367")</f>
        <v>ENSG00000141367</v>
      </c>
      <c r="M1242" s="12" t="s">
        <v>13379</v>
      </c>
      <c r="N1242" s="12" t="s">
        <v>13380</v>
      </c>
    </row>
    <row r="1243" spans="1:14">
      <c r="A1243" s="12" t="s">
        <v>5649</v>
      </c>
      <c r="B1243" s="8">
        <v>2007.1913788264501</v>
      </c>
      <c r="C1243" s="12">
        <v>911.31132256784804</v>
      </c>
      <c r="D1243" s="8">
        <v>1.1391622818448499</v>
      </c>
      <c r="E1243" s="12">
        <v>7.4931487460039399E-3</v>
      </c>
      <c r="F1243" s="8" t="s">
        <v>5650</v>
      </c>
      <c r="G1243" s="12" t="s">
        <v>13851</v>
      </c>
      <c r="H1243" s="12">
        <v>1</v>
      </c>
      <c r="I1243" s="13" t="str">
        <f>HYPERLINK("http://www.ncbi.nlm.nih.gov/gene/2157", "2157")</f>
        <v>2157</v>
      </c>
      <c r="J1243" s="12" t="s">
        <v>13852</v>
      </c>
      <c r="K1243" s="12" t="s">
        <v>13853</v>
      </c>
      <c r="L1243" s="13" t="str">
        <f>HYPERLINK("http://asia.ensembl.org/Homo_sapiens/Gene/Summary?g=ENSG00000185010", "ENSG00000185010")</f>
        <v>ENSG00000185010</v>
      </c>
      <c r="M1243" s="12" t="s">
        <v>13854</v>
      </c>
      <c r="N1243" s="12" t="s">
        <v>13855</v>
      </c>
    </row>
    <row r="1244" spans="1:14">
      <c r="A1244" s="12" t="s">
        <v>1918</v>
      </c>
      <c r="B1244" s="8">
        <v>866.03765323903997</v>
      </c>
      <c r="C1244" s="12">
        <v>393.22020477365299</v>
      </c>
      <c r="D1244" s="8">
        <v>1.1390922978723901</v>
      </c>
      <c r="E1244" s="12">
        <v>1.7446472666999099E-2</v>
      </c>
      <c r="F1244" s="8" t="s">
        <v>1919</v>
      </c>
      <c r="G1244" s="12" t="s">
        <v>1920</v>
      </c>
      <c r="H1244" s="12">
        <v>1</v>
      </c>
      <c r="I1244" s="13" t="str">
        <f>HYPERLINK("http://www.ncbi.nlm.nih.gov/gene/145482", "145482")</f>
        <v>145482</v>
      </c>
      <c r="J1244" s="12" t="s">
        <v>12475</v>
      </c>
      <c r="K1244" s="12" t="s">
        <v>12476</v>
      </c>
      <c r="L1244" s="13" t="str">
        <f>HYPERLINK("http://asia.ensembl.org/Homo_sapiens/Gene/Summary?g=ENSG00000140043", "ENSG00000140043")</f>
        <v>ENSG00000140043</v>
      </c>
      <c r="M1244" s="12" t="s">
        <v>12477</v>
      </c>
      <c r="N1244" s="12" t="s">
        <v>12478</v>
      </c>
    </row>
    <row r="1245" spans="1:14">
      <c r="A1245" s="12" t="s">
        <v>7699</v>
      </c>
      <c r="B1245" s="8">
        <v>118.2829144989</v>
      </c>
      <c r="C1245" s="12">
        <v>53.709102137385997</v>
      </c>
      <c r="D1245" s="8">
        <v>1.1390031880390601</v>
      </c>
      <c r="E1245" s="12">
        <v>2.6248959761489702E-3</v>
      </c>
      <c r="F1245" s="8" t="s">
        <v>7700</v>
      </c>
      <c r="G1245" s="12" t="s">
        <v>7701</v>
      </c>
      <c r="H1245" s="12">
        <v>4</v>
      </c>
      <c r="I1245" s="12" t="s">
        <v>7702</v>
      </c>
      <c r="J1245" s="12" t="s">
        <v>7703</v>
      </c>
      <c r="K1245" s="12" t="s">
        <v>7704</v>
      </c>
      <c r="L1245" s="13" t="str">
        <f>HYPERLINK("http://asia.ensembl.org/Homo_sapiens/Gene/Summary?g=ENSG00000134899", "ENSG00000134899")</f>
        <v>ENSG00000134899</v>
      </c>
      <c r="M1245" s="12" t="s">
        <v>14513</v>
      </c>
      <c r="N1245" s="12" t="s">
        <v>14514</v>
      </c>
    </row>
    <row r="1246" spans="1:14">
      <c r="A1246" s="12" t="s">
        <v>6067</v>
      </c>
      <c r="B1246" s="8">
        <v>705.232360243063</v>
      </c>
      <c r="C1246" s="12">
        <v>320.268646039239</v>
      </c>
      <c r="D1246" s="8">
        <v>1.13881610886997</v>
      </c>
      <c r="E1246" s="12">
        <v>4.2287215612107597E-3</v>
      </c>
      <c r="F1246" s="8" t="s">
        <v>6068</v>
      </c>
      <c r="G1246" s="12" t="s">
        <v>6069</v>
      </c>
      <c r="H1246" s="12">
        <v>1</v>
      </c>
      <c r="I1246" s="13" t="str">
        <f>HYPERLINK("http://www.ncbi.nlm.nih.gov/gene/29116", "29116")</f>
        <v>29116</v>
      </c>
      <c r="J1246" s="13" t="str">
        <f>HYPERLINK("http://www.ncbi.nlm.nih.gov/nuccore/NM_013262", "NM_013262")</f>
        <v>NM_013262</v>
      </c>
      <c r="K1246" s="12" t="s">
        <v>6070</v>
      </c>
      <c r="L1246" s="13" t="str">
        <f>HYPERLINK("http://asia.ensembl.org/Homo_sapiens/Gene/Summary?g=ENSG00000007944", "ENSG00000007944")</f>
        <v>ENSG00000007944</v>
      </c>
      <c r="M1246" s="12" t="s">
        <v>14022</v>
      </c>
      <c r="N1246" s="12" t="s">
        <v>14023</v>
      </c>
    </row>
    <row r="1247" spans="1:14">
      <c r="A1247" s="12" t="s">
        <v>9100</v>
      </c>
      <c r="B1247" s="8">
        <v>3283.97428609491</v>
      </c>
      <c r="C1247" s="12">
        <v>1491.3728455062101</v>
      </c>
      <c r="D1247" s="8">
        <v>1.13880185199421</v>
      </c>
      <c r="E1247" s="12">
        <v>4.73290838854761E-3</v>
      </c>
      <c r="F1247" s="8" t="s">
        <v>1227</v>
      </c>
      <c r="G1247" s="12" t="s">
        <v>14990</v>
      </c>
      <c r="H1247" s="12">
        <v>1</v>
      </c>
      <c r="I1247" s="13" t="str">
        <f>HYPERLINK("http://www.ncbi.nlm.nih.gov/gene/11146", "11146")</f>
        <v>11146</v>
      </c>
      <c r="J1247" s="13" t="str">
        <f>HYPERLINK("http://www.ncbi.nlm.nih.gov/nuccore/NM_053274", "NM_053274")</f>
        <v>NM_053274</v>
      </c>
      <c r="K1247" s="12" t="s">
        <v>1228</v>
      </c>
      <c r="L1247" s="13" t="str">
        <f>HYPERLINK("http://asia.ensembl.org/Homo_sapiens/Gene/Summary?g=ENSG00000174842", "ENSG00000174842")</f>
        <v>ENSG00000174842</v>
      </c>
      <c r="M1247" s="12" t="s">
        <v>14991</v>
      </c>
      <c r="N1247" s="12" t="s">
        <v>14992</v>
      </c>
    </row>
    <row r="1248" spans="1:14">
      <c r="A1248" s="12" t="s">
        <v>5389</v>
      </c>
      <c r="B1248" s="8">
        <v>207.56985684942799</v>
      </c>
      <c r="C1248" s="12">
        <v>94.307199367173297</v>
      </c>
      <c r="D1248" s="8">
        <v>1.13815713685703</v>
      </c>
      <c r="E1248" s="12">
        <v>3.1315980361214599E-4</v>
      </c>
      <c r="F1248" s="8" t="s">
        <v>5390</v>
      </c>
      <c r="G1248" s="12" t="s">
        <v>5391</v>
      </c>
      <c r="H1248" s="12">
        <v>1</v>
      </c>
      <c r="I1248" s="13" t="str">
        <f>HYPERLINK("http://www.ncbi.nlm.nih.gov/gene/93587", "93587")</f>
        <v>93587</v>
      </c>
      <c r="J1248" s="12" t="s">
        <v>13717</v>
      </c>
      <c r="K1248" s="12" t="s">
        <v>13718</v>
      </c>
      <c r="L1248" s="13" t="str">
        <f>HYPERLINK("http://asia.ensembl.org/Homo_sapiens/Gene/Summary?g=ENSG00000145331", "ENSG00000145331")</f>
        <v>ENSG00000145331</v>
      </c>
      <c r="M1248" s="12" t="s">
        <v>13719</v>
      </c>
      <c r="N1248" s="12" t="s">
        <v>13720</v>
      </c>
    </row>
    <row r="1249" spans="1:14">
      <c r="A1249" s="12" t="s">
        <v>7184</v>
      </c>
      <c r="B1249" s="8">
        <v>705.04488504771598</v>
      </c>
      <c r="C1249" s="12">
        <v>320.377580013998</v>
      </c>
      <c r="D1249" s="8">
        <v>1.13794191462262</v>
      </c>
      <c r="E1249" s="12">
        <v>1.7054829873489701E-3</v>
      </c>
      <c r="F1249" s="8" t="s">
        <v>7185</v>
      </c>
      <c r="G1249" s="12" t="s">
        <v>7186</v>
      </c>
      <c r="H1249" s="12">
        <v>1</v>
      </c>
      <c r="I1249" s="13" t="str">
        <f>HYPERLINK("http://www.ncbi.nlm.nih.gov/gene/90592", "90592")</f>
        <v>90592</v>
      </c>
      <c r="J1249" s="12" t="s">
        <v>14362</v>
      </c>
      <c r="K1249" s="12" t="s">
        <v>14363</v>
      </c>
      <c r="L1249" s="13" t="str">
        <f>HYPERLINK("http://asia.ensembl.org/Homo_sapiens/Gene/Summary?g=ENSG00000196757", "ENSG00000196757")</f>
        <v>ENSG00000196757</v>
      </c>
      <c r="M1249" s="12" t="s">
        <v>14364</v>
      </c>
      <c r="N1249" s="12" t="s">
        <v>14365</v>
      </c>
    </row>
    <row r="1250" spans="1:14">
      <c r="A1250" s="12" t="s">
        <v>10761</v>
      </c>
      <c r="B1250" s="8">
        <v>1220.8595364273499</v>
      </c>
      <c r="C1250" s="12">
        <v>554.804721675981</v>
      </c>
      <c r="D1250" s="8">
        <v>1.13784525254697</v>
      </c>
      <c r="E1250" s="12">
        <v>2.3387442428097699E-3</v>
      </c>
      <c r="F1250" s="8" t="s">
        <v>9019</v>
      </c>
      <c r="G1250" s="12" t="s">
        <v>9020</v>
      </c>
      <c r="H1250" s="12">
        <v>1</v>
      </c>
      <c r="I1250" s="13" t="str">
        <f>HYPERLINK("http://www.ncbi.nlm.nih.gov/gene/667", "667")</f>
        <v>667</v>
      </c>
      <c r="J1250" s="13" t="str">
        <f>HYPERLINK("http://www.ncbi.nlm.nih.gov/nuccore/NM_015548", "NM_015548")</f>
        <v>NM_015548</v>
      </c>
      <c r="K1250" s="12" t="s">
        <v>9021</v>
      </c>
      <c r="L1250" s="13" t="str">
        <f>HYPERLINK("http://asia.ensembl.org/Homo_sapiens/Gene/Summary?g=ENSG00000151914", "ENSG00000151914")</f>
        <v>ENSG00000151914</v>
      </c>
      <c r="M1250" s="12" t="s">
        <v>15837</v>
      </c>
      <c r="N1250" s="12" t="s">
        <v>15838</v>
      </c>
    </row>
    <row r="1251" spans="1:14">
      <c r="A1251" s="12" t="s">
        <v>2040</v>
      </c>
      <c r="B1251" s="8">
        <v>2977.67388959249</v>
      </c>
      <c r="C1251" s="12">
        <v>1353.3383438000801</v>
      </c>
      <c r="D1251" s="8">
        <v>1.1376631927688801</v>
      </c>
      <c r="E1251" s="12">
        <v>2.2778860108553498E-3</v>
      </c>
      <c r="F1251" s="8" t="s">
        <v>2041</v>
      </c>
      <c r="G1251" s="12" t="s">
        <v>12525</v>
      </c>
      <c r="H1251" s="12">
        <v>4</v>
      </c>
      <c r="I1251" s="12" t="s">
        <v>2042</v>
      </c>
      <c r="J1251" s="12" t="s">
        <v>12526</v>
      </c>
      <c r="K1251" s="12" t="s">
        <v>12527</v>
      </c>
      <c r="L1251" s="12" t="s">
        <v>2043</v>
      </c>
      <c r="M1251" s="12" t="s">
        <v>12528</v>
      </c>
      <c r="N1251" s="12" t="s">
        <v>12529</v>
      </c>
    </row>
    <row r="1252" spans="1:14">
      <c r="A1252" s="12" t="s">
        <v>6195</v>
      </c>
      <c r="B1252" s="8">
        <v>800.59829903371201</v>
      </c>
      <c r="C1252" s="12">
        <v>363.87126217094601</v>
      </c>
      <c r="D1252" s="8">
        <v>1.13765043605959</v>
      </c>
      <c r="E1252" s="12">
        <v>3.2149768571626699E-3</v>
      </c>
      <c r="F1252" s="8" t="s">
        <v>6196</v>
      </c>
      <c r="G1252" s="12" t="s">
        <v>6197</v>
      </c>
      <c r="H1252" s="12">
        <v>1</v>
      </c>
      <c r="I1252" s="13" t="str">
        <f>HYPERLINK("http://www.ncbi.nlm.nih.gov/gene/4520", "4520")</f>
        <v>4520</v>
      </c>
      <c r="J1252" s="13" t="str">
        <f>HYPERLINK("http://www.ncbi.nlm.nih.gov/nuccore/NM_005955", "NM_005955")</f>
        <v>NM_005955</v>
      </c>
      <c r="K1252" s="12" t="s">
        <v>6198</v>
      </c>
      <c r="L1252" s="13" t="str">
        <f>HYPERLINK("http://asia.ensembl.org/Homo_sapiens/Gene/Summary?g=ENSG00000188786", "ENSG00000188786")</f>
        <v>ENSG00000188786</v>
      </c>
      <c r="M1252" s="12" t="s">
        <v>14089</v>
      </c>
      <c r="N1252" s="12" t="s">
        <v>6199</v>
      </c>
    </row>
    <row r="1253" spans="1:14">
      <c r="A1253" s="12" t="s">
        <v>5409</v>
      </c>
      <c r="B1253" s="8">
        <v>2220.3540954969199</v>
      </c>
      <c r="C1253" s="12">
        <v>1009.30016906971</v>
      </c>
      <c r="D1253" s="8">
        <v>1.1374344713191999</v>
      </c>
      <c r="E1253" s="12">
        <v>1.0217986321619301E-2</v>
      </c>
      <c r="F1253" s="8" t="s">
        <v>5410</v>
      </c>
      <c r="G1253" s="12" t="s">
        <v>5411</v>
      </c>
      <c r="H1253" s="12">
        <v>1</v>
      </c>
      <c r="I1253" s="13" t="str">
        <f>HYPERLINK("http://www.ncbi.nlm.nih.gov/gene/7188", "7188")</f>
        <v>7188</v>
      </c>
      <c r="J1253" s="12" t="s">
        <v>13732</v>
      </c>
      <c r="K1253" s="12" t="s">
        <v>13733</v>
      </c>
      <c r="L1253" s="13" t="str">
        <f>HYPERLINK("http://asia.ensembl.org/Homo_sapiens/Gene/Summary?g=ENSG00000082512", "ENSG00000082512")</f>
        <v>ENSG00000082512</v>
      </c>
      <c r="M1253" s="12" t="s">
        <v>13734</v>
      </c>
      <c r="N1253" s="12" t="s">
        <v>13735</v>
      </c>
    </row>
    <row r="1254" spans="1:14">
      <c r="A1254" s="12" t="s">
        <v>10672</v>
      </c>
      <c r="B1254" s="8">
        <v>8453.3256775289301</v>
      </c>
      <c r="C1254" s="12">
        <v>3842.92704550697</v>
      </c>
      <c r="D1254" s="8">
        <v>1.1373134446581901</v>
      </c>
      <c r="E1254" s="12">
        <v>7.8147850779213407E-3</v>
      </c>
      <c r="F1254" s="8" t="s">
        <v>3169</v>
      </c>
      <c r="G1254" s="12" t="s">
        <v>3170</v>
      </c>
      <c r="H1254" s="12">
        <v>1</v>
      </c>
      <c r="I1254" s="13" t="str">
        <f>HYPERLINK("http://www.ncbi.nlm.nih.gov/gene/4893", "4893")</f>
        <v>4893</v>
      </c>
      <c r="J1254" s="13" t="str">
        <f>HYPERLINK("http://www.ncbi.nlm.nih.gov/nuccore/NM_002524", "NM_002524")</f>
        <v>NM_002524</v>
      </c>
      <c r="K1254" s="12" t="s">
        <v>3171</v>
      </c>
      <c r="L1254" s="13" t="str">
        <f>HYPERLINK("http://asia.ensembl.org/Homo_sapiens/Gene/Summary?g=ENSG00000213281", "ENSG00000213281")</f>
        <v>ENSG00000213281</v>
      </c>
      <c r="M1254" s="12" t="s">
        <v>3172</v>
      </c>
      <c r="N1254" s="12" t="s">
        <v>3173</v>
      </c>
    </row>
    <row r="1255" spans="1:14">
      <c r="A1255" s="12" t="s">
        <v>2626</v>
      </c>
      <c r="B1255" s="8">
        <v>789.01945015792603</v>
      </c>
      <c r="C1255" s="12">
        <v>358.704922434156</v>
      </c>
      <c r="D1255" s="8">
        <v>1.1372633213849599</v>
      </c>
      <c r="E1255" s="12">
        <v>7.9312797938248594E-3</v>
      </c>
      <c r="F1255" s="8" t="s">
        <v>2627</v>
      </c>
      <c r="G1255" s="12" t="s">
        <v>12717</v>
      </c>
      <c r="H1255" s="12">
        <v>1</v>
      </c>
      <c r="I1255" s="13" t="str">
        <f>HYPERLINK("http://www.ncbi.nlm.nih.gov/gene/10512", "10512")</f>
        <v>10512</v>
      </c>
      <c r="J1255" s="13" t="str">
        <f>HYPERLINK("http://www.ncbi.nlm.nih.gov/nuccore/NM_006379", "NM_006379")</f>
        <v>NM_006379</v>
      </c>
      <c r="K1255" s="12" t="s">
        <v>2628</v>
      </c>
      <c r="L1255" s="13" t="str">
        <f>HYPERLINK("http://asia.ensembl.org/Homo_sapiens/Gene/Summary?g=ENSG00000075223", "ENSG00000075223")</f>
        <v>ENSG00000075223</v>
      </c>
      <c r="M1255" s="12" t="s">
        <v>12718</v>
      </c>
      <c r="N1255" s="12" t="s">
        <v>12719</v>
      </c>
    </row>
    <row r="1256" spans="1:14">
      <c r="A1256" s="12" t="s">
        <v>6913</v>
      </c>
      <c r="B1256" s="8">
        <v>7930.6892002586001</v>
      </c>
      <c r="C1256" s="12">
        <v>3605.8865186777698</v>
      </c>
      <c r="D1256" s="8">
        <v>1.13709225158514</v>
      </c>
      <c r="E1256" s="12">
        <v>1.4859406487302399E-3</v>
      </c>
      <c r="F1256" s="8" t="s">
        <v>6914</v>
      </c>
      <c r="G1256" s="12" t="s">
        <v>14308</v>
      </c>
      <c r="H1256" s="12">
        <v>1</v>
      </c>
      <c r="I1256" s="13" t="str">
        <f>HYPERLINK("http://www.ncbi.nlm.nih.gov/gene/8644", "8644")</f>
        <v>8644</v>
      </c>
      <c r="J1256" s="12" t="s">
        <v>14309</v>
      </c>
      <c r="K1256" s="12" t="s">
        <v>14310</v>
      </c>
      <c r="L1256" s="13" t="str">
        <f>HYPERLINK("http://asia.ensembl.org/Homo_sapiens/Gene/Summary?g=ENSG00000196139", "ENSG00000196139")</f>
        <v>ENSG00000196139</v>
      </c>
      <c r="M1256" s="12" t="s">
        <v>14311</v>
      </c>
      <c r="N1256" s="12" t="s">
        <v>14312</v>
      </c>
    </row>
    <row r="1257" spans="1:14">
      <c r="A1257" s="12" t="s">
        <v>915</v>
      </c>
      <c r="B1257" s="8">
        <v>754.24764774583002</v>
      </c>
      <c r="C1257" s="12">
        <v>342.97873890134701</v>
      </c>
      <c r="D1257" s="8">
        <v>1.13691914493089</v>
      </c>
      <c r="E1257" s="12">
        <v>1.31655749842898E-2</v>
      </c>
      <c r="F1257" s="8" t="s">
        <v>916</v>
      </c>
      <c r="G1257" s="12" t="s">
        <v>917</v>
      </c>
      <c r="H1257" s="12">
        <v>1</v>
      </c>
      <c r="I1257" s="13" t="str">
        <f>HYPERLINK("http://www.ncbi.nlm.nih.gov/gene/4683", "4683")</f>
        <v>4683</v>
      </c>
      <c r="J1257" s="13" t="str">
        <f>HYPERLINK("http://www.ncbi.nlm.nih.gov/nuccore/NM_002485", "NM_002485")</f>
        <v>NM_002485</v>
      </c>
      <c r="K1257" s="12" t="s">
        <v>918</v>
      </c>
      <c r="L1257" s="13" t="str">
        <f>HYPERLINK("http://asia.ensembl.org/Homo_sapiens/Gene/Summary?g=ENSG00000104320", "ENSG00000104320")</f>
        <v>ENSG00000104320</v>
      </c>
      <c r="M1257" s="12" t="s">
        <v>12165</v>
      </c>
      <c r="N1257" s="12" t="s">
        <v>12166</v>
      </c>
    </row>
    <row r="1258" spans="1:14">
      <c r="A1258" s="12" t="s">
        <v>10535</v>
      </c>
      <c r="B1258" s="8">
        <v>1496.5475685976</v>
      </c>
      <c r="C1258" s="12">
        <v>681.27880451887495</v>
      </c>
      <c r="D1258" s="8">
        <v>1.1353209079964</v>
      </c>
      <c r="E1258" s="12">
        <v>1.2237115358728801E-3</v>
      </c>
      <c r="F1258" s="8" t="s">
        <v>4453</v>
      </c>
      <c r="G1258" s="12" t="s">
        <v>4454</v>
      </c>
      <c r="H1258" s="12">
        <v>1</v>
      </c>
      <c r="I1258" s="13" t="str">
        <f>HYPERLINK("http://www.ncbi.nlm.nih.gov/gene/6426", "6426")</f>
        <v>6426</v>
      </c>
      <c r="J1258" s="12" t="s">
        <v>15540</v>
      </c>
      <c r="K1258" s="12" t="s">
        <v>15541</v>
      </c>
      <c r="L1258" s="13" t="str">
        <f>HYPERLINK("http://asia.ensembl.org/Homo_sapiens/Gene/Summary?g=ENSG00000136450", "ENSG00000136450")</f>
        <v>ENSG00000136450</v>
      </c>
      <c r="M1258" s="12" t="s">
        <v>15542</v>
      </c>
      <c r="N1258" s="12" t="s">
        <v>15543</v>
      </c>
    </row>
    <row r="1259" spans="1:14">
      <c r="A1259" s="12" t="s">
        <v>780</v>
      </c>
      <c r="B1259" s="8">
        <v>1136.3708814397901</v>
      </c>
      <c r="C1259" s="12">
        <v>517.38152977056598</v>
      </c>
      <c r="D1259" s="8">
        <v>1.1351333125977201</v>
      </c>
      <c r="E1259" s="12">
        <v>7.9388747384026796E-3</v>
      </c>
      <c r="F1259" s="8" t="s">
        <v>781</v>
      </c>
      <c r="G1259" s="12" t="s">
        <v>782</v>
      </c>
      <c r="H1259" s="12">
        <v>1</v>
      </c>
      <c r="I1259" s="13" t="str">
        <f>HYPERLINK("http://www.ncbi.nlm.nih.gov/gene/221710", "221710")</f>
        <v>221710</v>
      </c>
      <c r="J1259" s="13" t="str">
        <f>HYPERLINK("http://www.ncbi.nlm.nih.gov/nuccore/NM_001135575", "NM_001135575")</f>
        <v>NM_001135575</v>
      </c>
      <c r="K1259" s="12" t="s">
        <v>783</v>
      </c>
      <c r="L1259" s="13" t="str">
        <f>HYPERLINK("http://asia.ensembl.org/Homo_sapiens/Gene/Summary?g=ENSG00000224531", "ENSG00000224531")</f>
        <v>ENSG00000224531</v>
      </c>
      <c r="M1259" s="12" t="s">
        <v>12105</v>
      </c>
      <c r="N1259" s="12" t="s">
        <v>12106</v>
      </c>
    </row>
    <row r="1260" spans="1:14">
      <c r="A1260" s="12" t="s">
        <v>10072</v>
      </c>
      <c r="B1260" s="8">
        <v>2121.89370597776</v>
      </c>
      <c r="C1260" s="12">
        <v>966.17087423190696</v>
      </c>
      <c r="D1260" s="8">
        <v>1.1350021201004901</v>
      </c>
      <c r="E1260" s="12">
        <v>4.5470890575966998E-3</v>
      </c>
      <c r="F1260" s="8" t="s">
        <v>2126</v>
      </c>
      <c r="G1260" s="12" t="s">
        <v>2127</v>
      </c>
      <c r="H1260" s="12">
        <v>1</v>
      </c>
      <c r="I1260" s="13" t="str">
        <f>HYPERLINK("http://www.ncbi.nlm.nih.gov/gene/51776", "51776")</f>
        <v>51776</v>
      </c>
      <c r="J1260" s="13" t="str">
        <f>HYPERLINK("http://www.ncbi.nlm.nih.gov/nuccore/NM_016653", "NM_016653")</f>
        <v>NM_016653</v>
      </c>
      <c r="K1260" s="12" t="s">
        <v>10073</v>
      </c>
      <c r="L1260" s="13" t="str">
        <f>HYPERLINK("http://asia.ensembl.org/Homo_sapiens/Gene/Summary?g=ENSG00000091436", "ENSG00000091436")</f>
        <v>ENSG00000091436</v>
      </c>
      <c r="M1260" s="12" t="s">
        <v>12552</v>
      </c>
      <c r="N1260" s="12" t="s">
        <v>12553</v>
      </c>
    </row>
    <row r="1261" spans="1:14">
      <c r="A1261" s="12" t="s">
        <v>7119</v>
      </c>
      <c r="B1261" s="8">
        <v>6216.4943373772703</v>
      </c>
      <c r="C1261" s="12">
        <v>2831.3990003846202</v>
      </c>
      <c r="D1261" s="8">
        <v>1.1345861638522401</v>
      </c>
      <c r="E1261" s="12">
        <v>6.2460813313575496E-3</v>
      </c>
      <c r="F1261" s="8" t="s">
        <v>6827</v>
      </c>
      <c r="G1261" s="12" t="s">
        <v>6828</v>
      </c>
      <c r="H1261" s="12">
        <v>1</v>
      </c>
      <c r="I1261" s="13" t="str">
        <f>HYPERLINK("http://www.ncbi.nlm.nih.gov/gene/3516", "3516")</f>
        <v>3516</v>
      </c>
      <c r="J1261" s="12" t="s">
        <v>14354</v>
      </c>
      <c r="K1261" s="12" t="s">
        <v>14355</v>
      </c>
      <c r="L1261" s="13" t="str">
        <f>HYPERLINK("http://asia.ensembl.org/Homo_sapiens/Gene/Summary?g=ENSG00000168214", "ENSG00000168214")</f>
        <v>ENSG00000168214</v>
      </c>
      <c r="M1261" s="12" t="s">
        <v>14356</v>
      </c>
      <c r="N1261" s="12" t="s">
        <v>14357</v>
      </c>
    </row>
    <row r="1262" spans="1:14">
      <c r="A1262" s="12" t="s">
        <v>10793</v>
      </c>
      <c r="B1262" s="8">
        <v>109.774820872102</v>
      </c>
      <c r="C1262" s="12">
        <v>50</v>
      </c>
      <c r="D1262" s="8">
        <v>1.1345471803114899</v>
      </c>
      <c r="E1262" s="12">
        <v>4.4391996124990502E-3</v>
      </c>
      <c r="F1262" s="8" t="s">
        <v>5724</v>
      </c>
      <c r="G1262" s="12" t="s">
        <v>15892</v>
      </c>
      <c r="H1262" s="12">
        <v>1</v>
      </c>
      <c r="I1262" s="13" t="str">
        <f>HYPERLINK("http://www.ncbi.nlm.nih.gov/gene/4233", "4233")</f>
        <v>4233</v>
      </c>
      <c r="J1262" s="12" t="s">
        <v>15893</v>
      </c>
      <c r="K1262" s="12" t="s">
        <v>15894</v>
      </c>
      <c r="L1262" s="13" t="str">
        <f>HYPERLINK("http://asia.ensembl.org/Homo_sapiens/Gene/Summary?g=ENSG00000105976", "ENSG00000105976")</f>
        <v>ENSG00000105976</v>
      </c>
      <c r="M1262" s="12" t="s">
        <v>15895</v>
      </c>
      <c r="N1262" s="12" t="s">
        <v>15896</v>
      </c>
    </row>
    <row r="1263" spans="1:14">
      <c r="A1263" s="12" t="s">
        <v>5114</v>
      </c>
      <c r="B1263" s="8">
        <v>1620.4072253199499</v>
      </c>
      <c r="C1263" s="12">
        <v>738.19337080499497</v>
      </c>
      <c r="D1263" s="8">
        <v>1.1342857361351999</v>
      </c>
      <c r="E1263" s="12">
        <v>7.248319578307E-3</v>
      </c>
      <c r="F1263" s="8" t="s">
        <v>5115</v>
      </c>
      <c r="G1263" s="12" t="s">
        <v>13596</v>
      </c>
      <c r="H1263" s="12">
        <v>1</v>
      </c>
      <c r="I1263" s="13" t="str">
        <f>HYPERLINK("http://www.ncbi.nlm.nih.gov/gene/80267", "80267")</f>
        <v>80267</v>
      </c>
      <c r="J1263" s="13" t="str">
        <f>HYPERLINK("http://www.ncbi.nlm.nih.gov/nuccore/NM_025191", "NM_025191")</f>
        <v>NM_025191</v>
      </c>
      <c r="K1263" s="12" t="s">
        <v>5116</v>
      </c>
      <c r="L1263" s="13" t="str">
        <f>HYPERLINK("http://asia.ensembl.org/Homo_sapiens/Gene/Summary?g=ENSG00000116406", "ENSG00000116406")</f>
        <v>ENSG00000116406</v>
      </c>
      <c r="M1263" s="12" t="s">
        <v>13597</v>
      </c>
      <c r="N1263" s="12" t="s">
        <v>13598</v>
      </c>
    </row>
    <row r="1264" spans="1:14">
      <c r="A1264" s="12" t="s">
        <v>10787</v>
      </c>
      <c r="B1264" s="8">
        <v>5025.3995571552005</v>
      </c>
      <c r="C1264" s="12">
        <v>2289.3942147094099</v>
      </c>
      <c r="D1264" s="8">
        <v>1.13427240157206</v>
      </c>
      <c r="E1264" s="12">
        <v>7.3508592031022299E-3</v>
      </c>
      <c r="F1264" s="8" t="s">
        <v>8952</v>
      </c>
      <c r="G1264" s="12" t="s">
        <v>14942</v>
      </c>
      <c r="H1264" s="12">
        <v>1</v>
      </c>
      <c r="I1264" s="13" t="str">
        <f>HYPERLINK("http://www.ncbi.nlm.nih.gov/gene/79158", "79158")</f>
        <v>79158</v>
      </c>
      <c r="J1264" s="13" t="str">
        <f>HYPERLINK("http://www.ncbi.nlm.nih.gov/nuccore/NM_024312", "NM_024312")</f>
        <v>NM_024312</v>
      </c>
      <c r="K1264" s="12" t="s">
        <v>8953</v>
      </c>
      <c r="L1264" s="13" t="str">
        <f>HYPERLINK("http://asia.ensembl.org/Homo_sapiens/Gene/Summary?g=ENSG00000111670", "ENSG00000111670")</f>
        <v>ENSG00000111670</v>
      </c>
      <c r="M1264" s="12" t="s">
        <v>14943</v>
      </c>
      <c r="N1264" s="12" t="s">
        <v>14944</v>
      </c>
    </row>
    <row r="1265" spans="1:14">
      <c r="A1265" s="12" t="s">
        <v>11580</v>
      </c>
      <c r="B1265" s="8">
        <v>1522.6678466445801</v>
      </c>
      <c r="C1265" s="12">
        <v>693.79654090770202</v>
      </c>
      <c r="D1265" s="8">
        <v>1.13401671513776</v>
      </c>
      <c r="E1265" s="12">
        <v>1.8202327304222901E-2</v>
      </c>
      <c r="F1265" s="8" t="s">
        <v>11581</v>
      </c>
      <c r="G1265" s="12" t="s">
        <v>11582</v>
      </c>
      <c r="H1265" s="12">
        <v>1</v>
      </c>
      <c r="I1265" s="13" t="str">
        <f>HYPERLINK("http://www.ncbi.nlm.nih.gov/gene/728485", "728485")</f>
        <v>728485</v>
      </c>
      <c r="J1265" s="13" t="str">
        <f>HYPERLINK("http://www.ncbi.nlm.nih.gov/nuccore/NM_001294306", "NM_001294306")</f>
        <v>NM_001294306</v>
      </c>
      <c r="K1265" s="12" t="s">
        <v>11583</v>
      </c>
      <c r="L1265" s="12" t="s">
        <v>38</v>
      </c>
      <c r="M1265" s="12" t="s">
        <v>38</v>
      </c>
      <c r="N1265" s="12" t="s">
        <v>38</v>
      </c>
    </row>
    <row r="1266" spans="1:14">
      <c r="A1266" s="12" t="s">
        <v>6986</v>
      </c>
      <c r="B1266" s="8">
        <v>313.841793948028</v>
      </c>
      <c r="C1266" s="12">
        <v>143.00864839701799</v>
      </c>
      <c r="D1266" s="8">
        <v>1.13393509101628</v>
      </c>
      <c r="E1266" s="12">
        <v>1.5205925341824999E-2</v>
      </c>
      <c r="F1266" s="8" t="s">
        <v>6987</v>
      </c>
      <c r="G1266" s="12" t="s">
        <v>14323</v>
      </c>
      <c r="H1266" s="12">
        <v>1</v>
      </c>
      <c r="I1266" s="13" t="str">
        <f>HYPERLINK("http://www.ncbi.nlm.nih.gov/gene/54556", "54556")</f>
        <v>54556</v>
      </c>
      <c r="J1266" s="13" t="str">
        <f>HYPERLINK("http://www.ncbi.nlm.nih.gov/nuccore/NM_019071", "NM_019071")</f>
        <v>NM_019071</v>
      </c>
      <c r="K1266" s="12" t="s">
        <v>6988</v>
      </c>
      <c r="L1266" s="13" t="str">
        <f>HYPERLINK("http://asia.ensembl.org/Homo_sapiens/Gene/Summary?g=ENSG00000071243", "ENSG00000071243")</f>
        <v>ENSG00000071243</v>
      </c>
      <c r="M1266" s="12" t="s">
        <v>14324</v>
      </c>
      <c r="N1266" s="12" t="s">
        <v>14325</v>
      </c>
    </row>
    <row r="1267" spans="1:14">
      <c r="A1267" s="12" t="s">
        <v>4736</v>
      </c>
      <c r="B1267" s="8">
        <v>1194.3046198628399</v>
      </c>
      <c r="C1267" s="12">
        <v>544.45535129494101</v>
      </c>
      <c r="D1267" s="8">
        <v>1.1332852089793</v>
      </c>
      <c r="E1267" s="12">
        <v>2.6075865566791102E-3</v>
      </c>
      <c r="F1267" s="8" t="s">
        <v>4737</v>
      </c>
      <c r="G1267" s="12" t="s">
        <v>4738</v>
      </c>
      <c r="H1267" s="12">
        <v>1</v>
      </c>
      <c r="I1267" s="13" t="str">
        <f>HYPERLINK("http://www.ncbi.nlm.nih.gov/gene/57695", "57695")</f>
        <v>57695</v>
      </c>
      <c r="J1267" s="13" t="str">
        <f>HYPERLINK("http://www.ncbi.nlm.nih.gov/nuccore/NM_020935", "NM_020935")</f>
        <v>NM_020935</v>
      </c>
      <c r="K1267" s="12" t="s">
        <v>4739</v>
      </c>
      <c r="L1267" s="13" t="str">
        <f>HYPERLINK("http://asia.ensembl.org/Homo_sapiens/Gene/Summary?g=ENSG00000135913", "ENSG00000135913")</f>
        <v>ENSG00000135913</v>
      </c>
      <c r="M1267" s="12" t="s">
        <v>13365</v>
      </c>
      <c r="N1267" s="12" t="s">
        <v>13366</v>
      </c>
    </row>
    <row r="1268" spans="1:14">
      <c r="A1268" s="12" t="s">
        <v>7655</v>
      </c>
      <c r="B1268" s="8">
        <v>369.75936922486</v>
      </c>
      <c r="C1268" s="12">
        <v>168.572786220925</v>
      </c>
      <c r="D1268" s="8">
        <v>1.13321505219275</v>
      </c>
      <c r="E1268" s="12">
        <v>2.0113901587817298E-2</v>
      </c>
      <c r="F1268" s="8" t="s">
        <v>7656</v>
      </c>
      <c r="G1268" s="12" t="s">
        <v>14499</v>
      </c>
      <c r="H1268" s="12">
        <v>1</v>
      </c>
      <c r="I1268" s="13" t="str">
        <f>HYPERLINK("http://www.ncbi.nlm.nih.gov/gene/6875", "6875")</f>
        <v>6875</v>
      </c>
      <c r="J1268" s="13" t="str">
        <f>HYPERLINK("http://www.ncbi.nlm.nih.gov/nuccore/NM_005640", "NM_005640")</f>
        <v>NM_005640</v>
      </c>
      <c r="K1268" s="12" t="s">
        <v>7657</v>
      </c>
      <c r="L1268" s="13" t="str">
        <f>HYPERLINK("http://asia.ensembl.org/Homo_sapiens/Gene/Summary?g=ENSG00000141384", "ENSG00000141384")</f>
        <v>ENSG00000141384</v>
      </c>
      <c r="M1268" s="12" t="s">
        <v>14500</v>
      </c>
      <c r="N1268" s="12" t="s">
        <v>14501</v>
      </c>
    </row>
    <row r="1269" spans="1:14">
      <c r="A1269" s="12" t="s">
        <v>5245</v>
      </c>
      <c r="B1269" s="8">
        <v>415.64422847069699</v>
      </c>
      <c r="C1269" s="12">
        <v>189.53091148769801</v>
      </c>
      <c r="D1269" s="8">
        <v>1.13291601528046</v>
      </c>
      <c r="E1269" s="12">
        <v>2.5152532068722002E-3</v>
      </c>
      <c r="F1269" s="8" t="s">
        <v>5246</v>
      </c>
      <c r="G1269" s="12" t="s">
        <v>5247</v>
      </c>
      <c r="H1269" s="12">
        <v>1</v>
      </c>
      <c r="I1269" s="13" t="str">
        <f>HYPERLINK("http://www.ncbi.nlm.nih.gov/gene/26098", "26098")</f>
        <v>26098</v>
      </c>
      <c r="J1269" s="12" t="s">
        <v>13639</v>
      </c>
      <c r="K1269" s="12" t="s">
        <v>13640</v>
      </c>
      <c r="L1269" s="13" t="str">
        <f>HYPERLINK("http://asia.ensembl.org/Homo_sapiens/Gene/Summary?g=ENSG00000107938", "ENSG00000107938")</f>
        <v>ENSG00000107938</v>
      </c>
      <c r="M1269" s="12" t="s">
        <v>13641</v>
      </c>
      <c r="N1269" s="12" t="s">
        <v>13642</v>
      </c>
    </row>
    <row r="1270" spans="1:14">
      <c r="A1270" s="12" t="s">
        <v>5561</v>
      </c>
      <c r="B1270" s="8">
        <v>507.37137420906498</v>
      </c>
      <c r="C1270" s="12">
        <v>231.52621553438701</v>
      </c>
      <c r="D1270" s="8">
        <v>1.13186656715517</v>
      </c>
      <c r="E1270" s="12">
        <v>2.6037182005403101E-3</v>
      </c>
      <c r="F1270" s="8" t="s">
        <v>5562</v>
      </c>
      <c r="G1270" s="12" t="s">
        <v>5563</v>
      </c>
      <c r="H1270" s="12">
        <v>1</v>
      </c>
      <c r="I1270" s="13" t="str">
        <f>HYPERLINK("http://www.ncbi.nlm.nih.gov/gene/23362", "23362")</f>
        <v>23362</v>
      </c>
      <c r="J1270" s="12" t="s">
        <v>13828</v>
      </c>
      <c r="K1270" s="12" t="s">
        <v>13829</v>
      </c>
      <c r="L1270" s="13" t="str">
        <f>HYPERLINK("http://asia.ensembl.org/Homo_sapiens/Gene/Summary?g=ENSG00000156011", "ENSG00000156011")</f>
        <v>ENSG00000156011</v>
      </c>
      <c r="M1270" s="12" t="s">
        <v>13830</v>
      </c>
      <c r="N1270" s="12" t="s">
        <v>13831</v>
      </c>
    </row>
    <row r="1271" spans="1:14">
      <c r="A1271" s="12" t="s">
        <v>4617</v>
      </c>
      <c r="B1271" s="8">
        <v>197.99037020386899</v>
      </c>
      <c r="C1271" s="12">
        <v>90.420451266442299</v>
      </c>
      <c r="D1271" s="8">
        <v>1.13070923971644</v>
      </c>
      <c r="E1271" s="12">
        <v>9.9154239944638095E-3</v>
      </c>
      <c r="F1271" s="8" t="s">
        <v>4618</v>
      </c>
      <c r="G1271" s="12" t="s">
        <v>4619</v>
      </c>
      <c r="H1271" s="12">
        <v>1</v>
      </c>
      <c r="I1271" s="13" t="str">
        <f>HYPERLINK("http://www.ncbi.nlm.nih.gov/gene/91975", "91975")</f>
        <v>91975</v>
      </c>
      <c r="J1271" s="12" t="s">
        <v>13321</v>
      </c>
      <c r="K1271" s="12" t="s">
        <v>13322</v>
      </c>
      <c r="L1271" s="13" t="str">
        <f>HYPERLINK("http://asia.ensembl.org/Homo_sapiens/Gene/Summary?g=ENSG00000145908", "ENSG00000145908")</f>
        <v>ENSG00000145908</v>
      </c>
      <c r="M1271" s="12" t="s">
        <v>13323</v>
      </c>
      <c r="N1271" s="12" t="s">
        <v>13324</v>
      </c>
    </row>
    <row r="1272" spans="1:14">
      <c r="A1272" s="12" t="s">
        <v>10800</v>
      </c>
      <c r="B1272" s="8">
        <v>7127.3145963136603</v>
      </c>
      <c r="C1272" s="12">
        <v>3255.0980905193101</v>
      </c>
      <c r="D1272" s="8">
        <v>1.13065758681691</v>
      </c>
      <c r="E1272" s="12">
        <v>2.6228777632218E-3</v>
      </c>
      <c r="F1272" s="8" t="s">
        <v>6604</v>
      </c>
      <c r="G1272" s="12" t="s">
        <v>6605</v>
      </c>
      <c r="H1272" s="12">
        <v>1</v>
      </c>
      <c r="I1272" s="13" t="str">
        <f>HYPERLINK("http://www.ncbi.nlm.nih.gov/gene/54583", "54583")</f>
        <v>54583</v>
      </c>
      <c r="J1272" s="13" t="str">
        <f>HYPERLINK("http://www.ncbi.nlm.nih.gov/nuccore/NM_022051", "NM_022051")</f>
        <v>NM_022051</v>
      </c>
      <c r="K1272" s="12" t="s">
        <v>6606</v>
      </c>
      <c r="L1272" s="13" t="str">
        <f>HYPERLINK("http://asia.ensembl.org/Homo_sapiens/Gene/Summary?g=ENSG00000135766", "ENSG00000135766")</f>
        <v>ENSG00000135766</v>
      </c>
      <c r="M1272" s="12" t="s">
        <v>15904</v>
      </c>
      <c r="N1272" s="12" t="s">
        <v>6607</v>
      </c>
    </row>
    <row r="1273" spans="1:14">
      <c r="A1273" s="12" t="s">
        <v>3811</v>
      </c>
      <c r="B1273" s="8">
        <v>9361.1477378077507</v>
      </c>
      <c r="C1273" s="12">
        <v>4275.8184865303401</v>
      </c>
      <c r="D1273" s="8">
        <v>1.1304848142055699</v>
      </c>
      <c r="E1273" s="12">
        <v>1.2664461326748099E-2</v>
      </c>
      <c r="F1273" s="8" t="s">
        <v>3812</v>
      </c>
      <c r="G1273" s="12" t="s">
        <v>3813</v>
      </c>
      <c r="H1273" s="12">
        <v>1</v>
      </c>
      <c r="I1273" s="13" t="str">
        <f>HYPERLINK("http://www.ncbi.nlm.nih.gov/gene/166647", "166647")</f>
        <v>166647</v>
      </c>
      <c r="J1273" s="13" t="str">
        <f>HYPERLINK("http://www.ncbi.nlm.nih.gov/nuccore/NM_145290", "NM_145290")</f>
        <v>NM_145290</v>
      </c>
      <c r="K1273" s="12" t="s">
        <v>3814</v>
      </c>
      <c r="L1273" s="13" t="str">
        <f>HYPERLINK("http://asia.ensembl.org/Homo_sapiens/Gene/Summary?g=ENSG00000152990", "ENSG00000152990")</f>
        <v>ENSG00000152990</v>
      </c>
      <c r="M1273" s="12" t="s">
        <v>13094</v>
      </c>
      <c r="N1273" s="12" t="s">
        <v>13095</v>
      </c>
    </row>
    <row r="1274" spans="1:14">
      <c r="A1274" s="12" t="s">
        <v>9977</v>
      </c>
      <c r="B1274" s="8">
        <v>6011.7440043711804</v>
      </c>
      <c r="C1274" s="12">
        <v>2746.42602705325</v>
      </c>
      <c r="D1274" s="8">
        <v>1.13022814241165</v>
      </c>
      <c r="E1274" s="12">
        <v>1.5021474204156299E-3</v>
      </c>
      <c r="F1274" s="8" t="s">
        <v>9978</v>
      </c>
      <c r="G1274" s="12" t="s">
        <v>566</v>
      </c>
      <c r="H1274" s="12">
        <v>1</v>
      </c>
      <c r="I1274" s="13" t="str">
        <f>HYPERLINK("http://www.ncbi.nlm.nih.gov/gene/253943", "253943")</f>
        <v>253943</v>
      </c>
      <c r="J1274" s="13" t="str">
        <f>HYPERLINK("http://www.ncbi.nlm.nih.gov/nuccore/NM_152758", "NM_152758")</f>
        <v>NM_152758</v>
      </c>
      <c r="K1274" s="12" t="s">
        <v>9979</v>
      </c>
      <c r="L1274" s="13" t="str">
        <f>HYPERLINK("http://asia.ensembl.org/Homo_sapiens/Gene/Summary?g=ENSG00000185728", "ENSG00000185728")</f>
        <v>ENSG00000185728</v>
      </c>
      <c r="M1274" s="12" t="s">
        <v>15266</v>
      </c>
      <c r="N1274" s="12" t="s">
        <v>15267</v>
      </c>
    </row>
    <row r="1275" spans="1:14">
      <c r="A1275" s="12" t="s">
        <v>11607</v>
      </c>
      <c r="B1275" s="8">
        <v>1890.2764702412201</v>
      </c>
      <c r="C1275" s="12">
        <v>863.69769391273098</v>
      </c>
      <c r="D1275" s="8">
        <v>1.1299989145174101</v>
      </c>
      <c r="E1275" s="12">
        <v>1.4792783647953099E-2</v>
      </c>
      <c r="F1275" s="8" t="s">
        <v>11608</v>
      </c>
      <c r="G1275" s="12" t="s">
        <v>16159</v>
      </c>
      <c r="H1275" s="12">
        <v>4</v>
      </c>
      <c r="I1275" s="12" t="s">
        <v>11609</v>
      </c>
      <c r="J1275" s="12" t="s">
        <v>11610</v>
      </c>
      <c r="K1275" s="12" t="s">
        <v>11611</v>
      </c>
      <c r="L1275" s="12" t="s">
        <v>11612</v>
      </c>
      <c r="M1275" s="12" t="s">
        <v>16160</v>
      </c>
      <c r="N1275" s="12" t="s">
        <v>16161</v>
      </c>
    </row>
    <row r="1276" spans="1:14">
      <c r="A1276" s="12" t="s">
        <v>4638</v>
      </c>
      <c r="B1276" s="8">
        <v>2766.8169794765399</v>
      </c>
      <c r="C1276" s="12">
        <v>1264.3422070137799</v>
      </c>
      <c r="D1276" s="8">
        <v>1.1298402187501999</v>
      </c>
      <c r="E1276" s="12">
        <v>3.9543367897809899E-3</v>
      </c>
      <c r="F1276" s="8" t="s">
        <v>4639</v>
      </c>
      <c r="G1276" s="12" t="s">
        <v>13329</v>
      </c>
      <c r="H1276" s="12">
        <v>1</v>
      </c>
      <c r="I1276" s="13" t="str">
        <f>HYPERLINK("http://www.ncbi.nlm.nih.gov/gene/836", "836")</f>
        <v>836</v>
      </c>
      <c r="J1276" s="12" t="s">
        <v>13330</v>
      </c>
      <c r="K1276" s="12" t="s">
        <v>13331</v>
      </c>
      <c r="L1276" s="13" t="str">
        <f>HYPERLINK("http://asia.ensembl.org/Homo_sapiens/Gene/Summary?g=ENSG00000164305", "ENSG00000164305")</f>
        <v>ENSG00000164305</v>
      </c>
      <c r="M1276" s="12" t="s">
        <v>13332</v>
      </c>
      <c r="N1276" s="12" t="s">
        <v>13333</v>
      </c>
    </row>
    <row r="1277" spans="1:14">
      <c r="A1277" s="12" t="s">
        <v>8482</v>
      </c>
      <c r="B1277" s="8">
        <v>162.03008946293099</v>
      </c>
      <c r="C1277" s="12">
        <v>74.051953384000697</v>
      </c>
      <c r="D1277" s="8">
        <v>1.1296520533418799</v>
      </c>
      <c r="E1277" s="12">
        <v>5.1491855159328402E-4</v>
      </c>
      <c r="F1277" s="8" t="s">
        <v>8483</v>
      </c>
      <c r="G1277" s="12" t="s">
        <v>14756</v>
      </c>
      <c r="H1277" s="12">
        <v>1</v>
      </c>
      <c r="I1277" s="13" t="str">
        <f>HYPERLINK("http://www.ncbi.nlm.nih.gov/gene/29063", "29063")</f>
        <v>29063</v>
      </c>
      <c r="J1277" s="13" t="str">
        <f>HYPERLINK("http://www.ncbi.nlm.nih.gov/nuccore/NM_024936", "NM_024936")</f>
        <v>NM_024936</v>
      </c>
      <c r="K1277" s="12" t="s">
        <v>8484</v>
      </c>
      <c r="L1277" s="13" t="str">
        <f>HYPERLINK("http://asia.ensembl.org/Homo_sapiens/Gene/Summary?g=ENSG00000168228", "ENSG00000168228")</f>
        <v>ENSG00000168228</v>
      </c>
      <c r="M1277" s="12" t="s">
        <v>14757</v>
      </c>
      <c r="N1277" s="12" t="s">
        <v>14758</v>
      </c>
    </row>
    <row r="1278" spans="1:14">
      <c r="A1278" s="12" t="s">
        <v>10560</v>
      </c>
      <c r="B1278" s="8">
        <v>4225.74348588661</v>
      </c>
      <c r="C1278" s="12">
        <v>1933.5289214766401</v>
      </c>
      <c r="D1278" s="8">
        <v>1.1279688501923899</v>
      </c>
      <c r="E1278" s="12">
        <v>8.4367704738594809E-3</v>
      </c>
      <c r="F1278" s="8" t="s">
        <v>1420</v>
      </c>
      <c r="G1278" s="12" t="s">
        <v>1421</v>
      </c>
      <c r="H1278" s="12">
        <v>1</v>
      </c>
      <c r="I1278" s="13" t="str">
        <f>HYPERLINK("http://www.ncbi.nlm.nih.gov/gene/135114", "135114")</f>
        <v>135114</v>
      </c>
      <c r="J1278" s="13" t="str">
        <f>HYPERLINK("http://www.ncbi.nlm.nih.gov/nuccore/NM_138571", "NM_138571")</f>
        <v>NM_138571</v>
      </c>
      <c r="K1278" s="12" t="s">
        <v>1422</v>
      </c>
      <c r="L1278" s="13" t="str">
        <f>HYPERLINK("http://asia.ensembl.org/Homo_sapiens/Gene/Summary?g=ENSG00000111911", "ENSG00000111911")</f>
        <v>ENSG00000111911</v>
      </c>
      <c r="M1278" s="12" t="s">
        <v>1423</v>
      </c>
      <c r="N1278" s="12" t="s">
        <v>1424</v>
      </c>
    </row>
    <row r="1279" spans="1:14">
      <c r="A1279" s="12" t="s">
        <v>10477</v>
      </c>
      <c r="B1279" s="8">
        <v>5878.8764068212004</v>
      </c>
      <c r="C1279" s="12">
        <v>2690.2419062303902</v>
      </c>
      <c r="D1279" s="8">
        <v>1.1278045424740299</v>
      </c>
      <c r="E1279" s="12">
        <v>8.7345395646516808E-3</v>
      </c>
      <c r="F1279" s="8" t="s">
        <v>5210</v>
      </c>
      <c r="G1279" s="12" t="s">
        <v>15444</v>
      </c>
      <c r="H1279" s="12">
        <v>1</v>
      </c>
      <c r="I1279" s="13" t="str">
        <f>HYPERLINK("http://www.ncbi.nlm.nih.gov/gene/1810", "1810")</f>
        <v>1810</v>
      </c>
      <c r="J1279" s="13" t="str">
        <f>HYPERLINK("http://www.ncbi.nlm.nih.gov/nuccore/NM_001938", "NM_001938")</f>
        <v>NM_001938</v>
      </c>
      <c r="K1279" s="12" t="s">
        <v>5211</v>
      </c>
      <c r="L1279" s="13" t="str">
        <f>HYPERLINK("http://asia.ensembl.org/Homo_sapiens/Gene/Summary?g=ENSG00000117505", "ENSG00000117505")</f>
        <v>ENSG00000117505</v>
      </c>
      <c r="M1279" s="12" t="s">
        <v>15445</v>
      </c>
      <c r="N1279" s="12" t="s">
        <v>15446</v>
      </c>
    </row>
    <row r="1280" spans="1:14">
      <c r="A1280" s="12" t="s">
        <v>11313</v>
      </c>
      <c r="B1280" s="8">
        <v>587.78732159350204</v>
      </c>
      <c r="C1280" s="12">
        <v>269.01508906025299</v>
      </c>
      <c r="D1280" s="8">
        <v>1.12760714496312</v>
      </c>
      <c r="E1280" s="12">
        <v>1.3503172375578601E-3</v>
      </c>
      <c r="F1280" s="8" t="s">
        <v>6244</v>
      </c>
      <c r="G1280" s="12" t="s">
        <v>15739</v>
      </c>
      <c r="H1280" s="12">
        <v>1</v>
      </c>
      <c r="I1280" s="13" t="str">
        <f>HYPERLINK("http://www.ncbi.nlm.nih.gov/gene/23457", "23457")</f>
        <v>23457</v>
      </c>
      <c r="J1280" s="12" t="s">
        <v>16099</v>
      </c>
      <c r="K1280" s="12" t="s">
        <v>16100</v>
      </c>
      <c r="L1280" s="13" t="str">
        <f>HYPERLINK("http://asia.ensembl.org/Homo_sapiens/Gene/Summary?g=ENSG00000150967", "ENSG00000150967")</f>
        <v>ENSG00000150967</v>
      </c>
      <c r="M1280" s="12" t="s">
        <v>16101</v>
      </c>
      <c r="N1280" s="12" t="s">
        <v>16102</v>
      </c>
    </row>
    <row r="1281" spans="1:14">
      <c r="A1281" s="12" t="s">
        <v>5977</v>
      </c>
      <c r="B1281" s="8">
        <v>634.67510784365004</v>
      </c>
      <c r="C1281" s="12">
        <v>290.52065234090799</v>
      </c>
      <c r="D1281" s="8">
        <v>1.1273775361485701</v>
      </c>
      <c r="E1281" s="12">
        <v>3.1365160820347598E-2</v>
      </c>
      <c r="F1281" s="8" t="s">
        <v>5978</v>
      </c>
      <c r="G1281" s="12" t="s">
        <v>5979</v>
      </c>
      <c r="H1281" s="12">
        <v>1</v>
      </c>
      <c r="I1281" s="13" t="str">
        <f>HYPERLINK("http://www.ncbi.nlm.nih.gov/gene/79596", "79596")</f>
        <v>79596</v>
      </c>
      <c r="J1281" s="13" t="str">
        <f>HYPERLINK("http://www.ncbi.nlm.nih.gov/nuccore/NM_024546", "NM_024546")</f>
        <v>NM_024546</v>
      </c>
      <c r="K1281" s="12" t="s">
        <v>5980</v>
      </c>
      <c r="L1281" s="13" t="str">
        <f>HYPERLINK("http://asia.ensembl.org/Homo_sapiens/Gene/Summary?g=ENSG00000152193", "ENSG00000152193")</f>
        <v>ENSG00000152193</v>
      </c>
      <c r="M1281" s="12" t="s">
        <v>5981</v>
      </c>
      <c r="N1281" s="12" t="s">
        <v>5982</v>
      </c>
    </row>
    <row r="1282" spans="1:14">
      <c r="A1282" s="12" t="s">
        <v>4943</v>
      </c>
      <c r="B1282" s="8">
        <v>6283.0708101788596</v>
      </c>
      <c r="C1282" s="12">
        <v>2876.22364170526</v>
      </c>
      <c r="D1282" s="8">
        <v>1.1272939819810299</v>
      </c>
      <c r="E1282" s="12">
        <v>1.3128089696293701E-2</v>
      </c>
      <c r="F1282" s="8" t="s">
        <v>4944</v>
      </c>
      <c r="G1282" s="12" t="s">
        <v>13501</v>
      </c>
      <c r="H1282" s="12">
        <v>1</v>
      </c>
      <c r="I1282" s="13" t="str">
        <f>HYPERLINK("http://www.ncbi.nlm.nih.gov/gene/5527", "5527")</f>
        <v>5527</v>
      </c>
      <c r="J1282" s="12" t="s">
        <v>13502</v>
      </c>
      <c r="K1282" s="12" t="s">
        <v>13503</v>
      </c>
      <c r="L1282" s="13" t="str">
        <f>HYPERLINK("http://asia.ensembl.org/Homo_sapiens/Gene/Summary?g=ENSG00000078304", "ENSG00000078304")</f>
        <v>ENSG00000078304</v>
      </c>
      <c r="M1282" s="12" t="s">
        <v>13504</v>
      </c>
      <c r="N1282" s="12" t="s">
        <v>13505</v>
      </c>
    </row>
    <row r="1283" spans="1:14">
      <c r="A1283" s="12" t="s">
        <v>3949</v>
      </c>
      <c r="B1283" s="8">
        <v>964.122455313567</v>
      </c>
      <c r="C1283" s="12">
        <v>441.42717312399901</v>
      </c>
      <c r="D1283" s="8">
        <v>1.12704095700775</v>
      </c>
      <c r="E1283" s="12">
        <v>4.4607806851286796E-3</v>
      </c>
      <c r="F1283" s="8" t="s">
        <v>3950</v>
      </c>
      <c r="G1283" s="12" t="s">
        <v>3951</v>
      </c>
      <c r="H1283" s="12">
        <v>1</v>
      </c>
      <c r="I1283" s="13" t="str">
        <f>HYPERLINK("http://www.ncbi.nlm.nih.gov/gene/79646", "79646")</f>
        <v>79646</v>
      </c>
      <c r="J1283" s="13" t="str">
        <f>HYPERLINK("http://www.ncbi.nlm.nih.gov/nuccore/NM_024594", "NM_024594")</f>
        <v>NM_024594</v>
      </c>
      <c r="K1283" s="12" t="s">
        <v>3952</v>
      </c>
      <c r="L1283" s="13" t="str">
        <f>HYPERLINK("http://asia.ensembl.org/Homo_sapiens/Gene/Summary?g=ENSG00000120137", "ENSG00000120137")</f>
        <v>ENSG00000120137</v>
      </c>
      <c r="M1283" s="12" t="s">
        <v>13134</v>
      </c>
      <c r="N1283" s="12" t="s">
        <v>13135</v>
      </c>
    </row>
    <row r="1284" spans="1:14">
      <c r="A1284" s="12" t="s">
        <v>801</v>
      </c>
      <c r="B1284" s="8">
        <v>3945.1051912871799</v>
      </c>
      <c r="C1284" s="12">
        <v>1806.77078618314</v>
      </c>
      <c r="D1284" s="8">
        <v>1.1266502763785899</v>
      </c>
      <c r="E1284" s="12">
        <v>6.7220116670351701E-3</v>
      </c>
      <c r="F1284" s="8" t="s">
        <v>802</v>
      </c>
      <c r="G1284" s="12" t="s">
        <v>12123</v>
      </c>
      <c r="H1284" s="12">
        <v>1</v>
      </c>
      <c r="I1284" s="13" t="str">
        <f>HYPERLINK("http://www.ncbi.nlm.nih.gov/gene/64429", "64429")</f>
        <v>64429</v>
      </c>
      <c r="J1284" s="13" t="str">
        <f>HYPERLINK("http://www.ncbi.nlm.nih.gov/nuccore/NM_022494", "NM_022494")</f>
        <v>NM_022494</v>
      </c>
      <c r="K1284" s="12" t="s">
        <v>803</v>
      </c>
      <c r="L1284" s="13" t="str">
        <f>HYPERLINK("http://asia.ensembl.org/Homo_sapiens/Gene/Summary?g=ENSG00000023041", "ENSG00000023041")</f>
        <v>ENSG00000023041</v>
      </c>
      <c r="M1284" s="12" t="s">
        <v>12124</v>
      </c>
      <c r="N1284" s="12" t="s">
        <v>12125</v>
      </c>
    </row>
    <row r="1285" spans="1:14">
      <c r="A1285" s="12" t="s">
        <v>968</v>
      </c>
      <c r="B1285" s="8">
        <v>6760.2198420249497</v>
      </c>
      <c r="C1285" s="12">
        <v>3098.6133934801401</v>
      </c>
      <c r="D1285" s="8">
        <v>1.12544739907223</v>
      </c>
      <c r="E1285" s="12">
        <v>3.6606413236454599E-3</v>
      </c>
      <c r="F1285" s="8" t="s">
        <v>969</v>
      </c>
      <c r="G1285" s="12" t="s">
        <v>970</v>
      </c>
      <c r="H1285" s="12">
        <v>1</v>
      </c>
      <c r="I1285" s="13" t="str">
        <f>HYPERLINK("http://www.ncbi.nlm.nih.gov/gene/4281", "4281")</f>
        <v>4281</v>
      </c>
      <c r="J1285" s="12" t="s">
        <v>12177</v>
      </c>
      <c r="K1285" s="12" t="s">
        <v>12178</v>
      </c>
      <c r="L1285" s="13" t="str">
        <f>HYPERLINK("http://asia.ensembl.org/Homo_sapiens/Gene/Summary?g=ENSG00000101871", "ENSG00000101871")</f>
        <v>ENSG00000101871</v>
      </c>
      <c r="M1285" s="12" t="s">
        <v>12179</v>
      </c>
      <c r="N1285" s="12" t="s">
        <v>12180</v>
      </c>
    </row>
    <row r="1286" spans="1:14">
      <c r="A1286" s="12" t="s">
        <v>4378</v>
      </c>
      <c r="B1286" s="8">
        <v>181.61109271139</v>
      </c>
      <c r="C1286" s="12">
        <v>83.248526346948495</v>
      </c>
      <c r="D1286" s="8">
        <v>1.12535568523604</v>
      </c>
      <c r="E1286" s="12">
        <v>1.1831762723609001E-3</v>
      </c>
      <c r="F1286" s="8" t="s">
        <v>4379</v>
      </c>
      <c r="G1286" s="12" t="s">
        <v>13214</v>
      </c>
      <c r="H1286" s="12">
        <v>1</v>
      </c>
      <c r="I1286" s="13" t="str">
        <f>HYPERLINK("http://www.ncbi.nlm.nih.gov/gene/490", "490")</f>
        <v>490</v>
      </c>
      <c r="J1286" s="12" t="s">
        <v>13215</v>
      </c>
      <c r="K1286" s="12" t="s">
        <v>13216</v>
      </c>
      <c r="L1286" s="13" t="str">
        <f>HYPERLINK("http://asia.ensembl.org/Homo_sapiens/Gene/Summary?g=ENSG00000070961", "ENSG00000070961")</f>
        <v>ENSG00000070961</v>
      </c>
      <c r="M1286" s="12" t="s">
        <v>13217</v>
      </c>
      <c r="N1286" s="12" t="s">
        <v>13218</v>
      </c>
    </row>
    <row r="1287" spans="1:14">
      <c r="A1287" s="12" t="s">
        <v>7438</v>
      </c>
      <c r="B1287" s="8">
        <v>309.609049897788</v>
      </c>
      <c r="C1287" s="12">
        <v>141.92932241509899</v>
      </c>
      <c r="D1287" s="8">
        <v>1.12527496306423</v>
      </c>
      <c r="E1287" s="12">
        <v>2.3657962753894601E-2</v>
      </c>
      <c r="F1287" s="8" t="s">
        <v>971</v>
      </c>
      <c r="G1287" s="12" t="s">
        <v>972</v>
      </c>
      <c r="H1287" s="12">
        <v>1</v>
      </c>
      <c r="I1287" s="13" t="str">
        <f>HYPERLINK("http://www.ncbi.nlm.nih.gov/gene/9851", "9851")</f>
        <v>9851</v>
      </c>
      <c r="J1287" s="13" t="str">
        <f>HYPERLINK("http://www.ncbi.nlm.nih.gov/nuccore/NM_014804", "NM_014804")</f>
        <v>NM_014804</v>
      </c>
      <c r="K1287" s="12" t="s">
        <v>973</v>
      </c>
      <c r="L1287" s="13" t="str">
        <f>HYPERLINK("http://asia.ensembl.org/Homo_sapiens/Gene/Summary?g=ENSG00000198920", "ENSG00000198920")</f>
        <v>ENSG00000198920</v>
      </c>
      <c r="M1287" s="12" t="s">
        <v>14426</v>
      </c>
      <c r="N1287" s="12" t="s">
        <v>14427</v>
      </c>
    </row>
    <row r="1288" spans="1:14">
      <c r="A1288" s="12" t="s">
        <v>11832</v>
      </c>
      <c r="B1288" s="8">
        <v>29666.752052024101</v>
      </c>
      <c r="C1288" s="12">
        <v>13601.540104048599</v>
      </c>
      <c r="D1288" s="8">
        <v>1.1250769703957599</v>
      </c>
      <c r="E1288" s="12">
        <v>8.0734781947542494E-3</v>
      </c>
      <c r="F1288" s="8" t="s">
        <v>5544</v>
      </c>
      <c r="G1288" s="12" t="s">
        <v>5545</v>
      </c>
      <c r="H1288" s="12">
        <v>1</v>
      </c>
      <c r="I1288" s="13" t="str">
        <f>HYPERLINK("http://www.ncbi.nlm.nih.gov/gene/4060", "4060")</f>
        <v>4060</v>
      </c>
      <c r="J1288" s="13" t="str">
        <f>HYPERLINK("http://www.ncbi.nlm.nih.gov/nuccore/NM_002345", "NM_002345")</f>
        <v>NM_002345</v>
      </c>
      <c r="K1288" s="12" t="s">
        <v>5546</v>
      </c>
      <c r="L1288" s="13" t="str">
        <f>HYPERLINK("http://asia.ensembl.org/Homo_sapiens/Gene/Summary?g=ENSG00000139329", "ENSG00000139329")</f>
        <v>ENSG00000139329</v>
      </c>
      <c r="M1288" s="12" t="s">
        <v>16218</v>
      </c>
      <c r="N1288" s="12" t="s">
        <v>5547</v>
      </c>
    </row>
    <row r="1289" spans="1:14">
      <c r="A1289" s="12" t="s">
        <v>1183</v>
      </c>
      <c r="B1289" s="8">
        <v>237.438193070241</v>
      </c>
      <c r="C1289" s="12">
        <v>108.911055772648</v>
      </c>
      <c r="D1289" s="8">
        <v>1.12440160578912</v>
      </c>
      <c r="E1289" s="12">
        <v>3.54604099949419E-3</v>
      </c>
      <c r="F1289" s="8" t="s">
        <v>1184</v>
      </c>
      <c r="G1289" s="12" t="s">
        <v>1185</v>
      </c>
      <c r="H1289" s="12">
        <v>1</v>
      </c>
      <c r="I1289" s="13" t="str">
        <f>HYPERLINK("http://www.ncbi.nlm.nih.gov/gene/5966", "5966")</f>
        <v>5966</v>
      </c>
      <c r="J1289" s="13" t="str">
        <f>HYPERLINK("http://www.ncbi.nlm.nih.gov/nuccore/NM_002908", "NM_002908")</f>
        <v>NM_002908</v>
      </c>
      <c r="K1289" s="12" t="s">
        <v>1186</v>
      </c>
      <c r="L1289" s="13" t="str">
        <f>HYPERLINK("http://asia.ensembl.org/Homo_sapiens/Gene/Summary?g=ENSG00000162924", "ENSG00000162924")</f>
        <v>ENSG00000162924</v>
      </c>
      <c r="M1289" s="12" t="s">
        <v>12257</v>
      </c>
      <c r="N1289" s="12" t="s">
        <v>12258</v>
      </c>
    </row>
    <row r="1290" spans="1:14">
      <c r="A1290" s="12" t="s">
        <v>1170</v>
      </c>
      <c r="B1290" s="8">
        <v>965.24731480254002</v>
      </c>
      <c r="C1290" s="12">
        <v>442.87179520248799</v>
      </c>
      <c r="D1290" s="8">
        <v>1.12400951531252</v>
      </c>
      <c r="E1290" s="12">
        <v>8.8463992534209106E-3</v>
      </c>
      <c r="F1290" s="8" t="s">
        <v>1171</v>
      </c>
      <c r="G1290" s="12" t="s">
        <v>1172</v>
      </c>
      <c r="H1290" s="12">
        <v>1</v>
      </c>
      <c r="I1290" s="13" t="str">
        <f>HYPERLINK("http://www.ncbi.nlm.nih.gov/gene/4651", "4651")</f>
        <v>4651</v>
      </c>
      <c r="J1290" s="13" t="str">
        <f>HYPERLINK("http://www.ncbi.nlm.nih.gov/nuccore/NM_012334", "NM_012334")</f>
        <v>NM_012334</v>
      </c>
      <c r="K1290" s="12" t="s">
        <v>1173</v>
      </c>
      <c r="L1290" s="13" t="str">
        <f>HYPERLINK("http://asia.ensembl.org/Homo_sapiens/Gene/Summary?g=ENSG00000145555", "ENSG00000145555")</f>
        <v>ENSG00000145555</v>
      </c>
      <c r="M1290" s="12" t="s">
        <v>12255</v>
      </c>
      <c r="N1290" s="12" t="s">
        <v>12256</v>
      </c>
    </row>
    <row r="1291" spans="1:14">
      <c r="A1291" s="12" t="s">
        <v>137</v>
      </c>
      <c r="B1291" s="8">
        <v>6712.0452431841404</v>
      </c>
      <c r="C1291" s="12">
        <v>3079.6614518217398</v>
      </c>
      <c r="D1291" s="8">
        <v>1.12398067672979</v>
      </c>
      <c r="E1291" s="12">
        <v>2.17745094224089E-3</v>
      </c>
      <c r="F1291" s="8" t="s">
        <v>138</v>
      </c>
      <c r="G1291" s="12" t="s">
        <v>139</v>
      </c>
      <c r="H1291" s="12">
        <v>1</v>
      </c>
      <c r="I1291" s="13" t="str">
        <f>HYPERLINK("http://www.ncbi.nlm.nih.gov/gene/8826", "8826")</f>
        <v>8826</v>
      </c>
      <c r="J1291" s="13" t="str">
        <f>HYPERLINK("http://www.ncbi.nlm.nih.gov/nuccore/NM_003870", "NM_003870")</f>
        <v>NM_003870</v>
      </c>
      <c r="K1291" s="12" t="s">
        <v>140</v>
      </c>
      <c r="L1291" s="13" t="str">
        <f>HYPERLINK("http://asia.ensembl.org/Homo_sapiens/Gene/Summary?g=ENSG00000140575", "ENSG00000140575")</f>
        <v>ENSG00000140575</v>
      </c>
      <c r="M1291" s="12" t="s">
        <v>11872</v>
      </c>
      <c r="N1291" s="12" t="s">
        <v>11873</v>
      </c>
    </row>
    <row r="1292" spans="1:14">
      <c r="A1292" s="12" t="s">
        <v>10600</v>
      </c>
      <c r="B1292" s="8">
        <v>523.80936036021706</v>
      </c>
      <c r="C1292" s="12">
        <v>240.35716844256399</v>
      </c>
      <c r="D1292" s="8">
        <v>1.1238620093312199</v>
      </c>
      <c r="E1292" s="12">
        <v>2.3930931866399899E-2</v>
      </c>
      <c r="F1292" s="8" t="s">
        <v>6094</v>
      </c>
      <c r="G1292" s="12" t="s">
        <v>6095</v>
      </c>
      <c r="H1292" s="12">
        <v>1</v>
      </c>
      <c r="I1292" s="13" t="str">
        <f>HYPERLINK("http://www.ncbi.nlm.nih.gov/gene/1241", "1241")</f>
        <v>1241</v>
      </c>
      <c r="J1292" s="12" t="s">
        <v>15616</v>
      </c>
      <c r="K1292" s="12" t="s">
        <v>15617</v>
      </c>
      <c r="L1292" s="13" t="str">
        <f>HYPERLINK("http://asia.ensembl.org/Homo_sapiens/Gene/Summary?g=ENSG00000213903", "ENSG00000213903")</f>
        <v>ENSG00000213903</v>
      </c>
      <c r="M1292" s="12" t="s">
        <v>15618</v>
      </c>
      <c r="N1292" s="12" t="s">
        <v>15619</v>
      </c>
    </row>
    <row r="1293" spans="1:14">
      <c r="A1293" s="12" t="s">
        <v>2558</v>
      </c>
      <c r="B1293" s="8">
        <v>679.702104284661</v>
      </c>
      <c r="C1293" s="12">
        <v>312.03381338476902</v>
      </c>
      <c r="D1293" s="8">
        <v>1.12320021478056</v>
      </c>
      <c r="E1293" s="12">
        <v>9.9321270505787901E-3</v>
      </c>
      <c r="F1293" s="8" t="s">
        <v>2559</v>
      </c>
      <c r="G1293" s="12" t="s">
        <v>12690</v>
      </c>
      <c r="H1293" s="12">
        <v>1</v>
      </c>
      <c r="I1293" s="13" t="str">
        <f>HYPERLINK("http://www.ncbi.nlm.nih.gov/gene/10827", "10827")</f>
        <v>10827</v>
      </c>
      <c r="J1293" s="13" t="str">
        <f>HYPERLINK("http://www.ncbi.nlm.nih.gov/nuccore/NM_018691", "NM_018691")</f>
        <v>NM_018691</v>
      </c>
      <c r="K1293" s="12" t="s">
        <v>2560</v>
      </c>
      <c r="L1293" s="13" t="str">
        <f>HYPERLINK("http://asia.ensembl.org/Homo_sapiens/Gene/Summary?g=ENSG00000055147", "ENSG00000055147")</f>
        <v>ENSG00000055147</v>
      </c>
      <c r="M1293" s="12" t="s">
        <v>12691</v>
      </c>
      <c r="N1293" s="12" t="s">
        <v>12692</v>
      </c>
    </row>
    <row r="1294" spans="1:14">
      <c r="A1294" s="12" t="s">
        <v>5469</v>
      </c>
      <c r="B1294" s="8">
        <v>1253.7933570175701</v>
      </c>
      <c r="C1294" s="12">
        <v>575.63569517406404</v>
      </c>
      <c r="D1294" s="8">
        <v>1.1230716295691801</v>
      </c>
      <c r="E1294" s="12">
        <v>7.5790586117873496E-3</v>
      </c>
      <c r="F1294" s="8" t="s">
        <v>5470</v>
      </c>
      <c r="G1294" s="12" t="s">
        <v>5471</v>
      </c>
      <c r="H1294" s="12">
        <v>1</v>
      </c>
      <c r="I1294" s="13" t="str">
        <f>HYPERLINK("http://www.ncbi.nlm.nih.gov/gene/3667", "3667")</f>
        <v>3667</v>
      </c>
      <c r="J1294" s="13" t="str">
        <f>HYPERLINK("http://www.ncbi.nlm.nih.gov/nuccore/NM_005544", "NM_005544")</f>
        <v>NM_005544</v>
      </c>
      <c r="K1294" s="12" t="s">
        <v>5472</v>
      </c>
      <c r="L1294" s="13" t="str">
        <f>HYPERLINK("http://asia.ensembl.org/Homo_sapiens/Gene/Summary?g=ENSG00000169047", "ENSG00000169047")</f>
        <v>ENSG00000169047</v>
      </c>
      <c r="M1294" s="12" t="s">
        <v>13777</v>
      </c>
      <c r="N1294" s="12" t="s">
        <v>5473</v>
      </c>
    </row>
    <row r="1295" spans="1:14">
      <c r="A1295" s="12" t="s">
        <v>3791</v>
      </c>
      <c r="B1295" s="8">
        <v>5185.2586567305498</v>
      </c>
      <c r="C1295" s="12">
        <v>2381.0410832868101</v>
      </c>
      <c r="D1295" s="8">
        <v>1.1228234433514599</v>
      </c>
      <c r="E1295" s="12">
        <v>8.5705085780156502E-3</v>
      </c>
      <c r="F1295" s="8" t="s">
        <v>3792</v>
      </c>
      <c r="G1295" s="12" t="s">
        <v>3793</v>
      </c>
      <c r="H1295" s="12">
        <v>1</v>
      </c>
      <c r="I1295" s="13" t="str">
        <f>HYPERLINK("http://www.ncbi.nlm.nih.gov/gene/55066", "55066")</f>
        <v>55066</v>
      </c>
      <c r="J1295" s="13" t="str">
        <f>HYPERLINK("http://www.ncbi.nlm.nih.gov/nuccore/NM_017990", "NM_017990")</f>
        <v>NM_017990</v>
      </c>
      <c r="K1295" s="12" t="s">
        <v>3794</v>
      </c>
      <c r="L1295" s="13" t="str">
        <f>HYPERLINK("http://asia.ensembl.org/Homo_sapiens/Gene/Summary?g=ENSG00000090857", "ENSG00000090857")</f>
        <v>ENSG00000090857</v>
      </c>
      <c r="M1295" s="12" t="s">
        <v>13090</v>
      </c>
      <c r="N1295" s="12" t="s">
        <v>13091</v>
      </c>
    </row>
    <row r="1296" spans="1:14">
      <c r="A1296" s="12" t="s">
        <v>3459</v>
      </c>
      <c r="B1296" s="8">
        <v>7670.2237823636397</v>
      </c>
      <c r="C1296" s="12">
        <v>3522.9336180454502</v>
      </c>
      <c r="D1296" s="8">
        <v>1.12249137897804</v>
      </c>
      <c r="E1296" s="12">
        <v>1.7813249117303101E-3</v>
      </c>
      <c r="F1296" s="8" t="s">
        <v>3460</v>
      </c>
      <c r="G1296" s="12" t="s">
        <v>3461</v>
      </c>
      <c r="H1296" s="12">
        <v>1</v>
      </c>
      <c r="I1296" s="13" t="str">
        <f>HYPERLINK("http://www.ncbi.nlm.nih.gov/gene/329", "329")</f>
        <v>329</v>
      </c>
      <c r="J1296" s="12" t="s">
        <v>12995</v>
      </c>
      <c r="K1296" s="12" t="s">
        <v>12996</v>
      </c>
      <c r="L1296" s="13" t="str">
        <f>HYPERLINK("http://asia.ensembl.org/Homo_sapiens/Gene/Summary?g=ENSG00000110330", "ENSG00000110330")</f>
        <v>ENSG00000110330</v>
      </c>
      <c r="M1296" s="12" t="s">
        <v>12997</v>
      </c>
      <c r="N1296" s="12" t="s">
        <v>12998</v>
      </c>
    </row>
    <row r="1297" spans="1:14">
      <c r="A1297" s="12" t="s">
        <v>6091</v>
      </c>
      <c r="B1297" s="8">
        <v>338.70313697452201</v>
      </c>
      <c r="C1297" s="12">
        <v>155.56705136149299</v>
      </c>
      <c r="D1297" s="8">
        <v>1.12248481457375</v>
      </c>
      <c r="E1297" s="12">
        <v>2.0261644209443402E-3</v>
      </c>
      <c r="F1297" s="8" t="s">
        <v>3953</v>
      </c>
      <c r="G1297" s="12" t="s">
        <v>3954</v>
      </c>
      <c r="H1297" s="12">
        <v>1</v>
      </c>
      <c r="I1297" s="13" t="str">
        <f>HYPERLINK("http://www.ncbi.nlm.nih.gov/gene/50618", "50618")</f>
        <v>50618</v>
      </c>
      <c r="J1297" s="12" t="s">
        <v>14039</v>
      </c>
      <c r="K1297" s="12" t="s">
        <v>14040</v>
      </c>
      <c r="L1297" s="13" t="str">
        <f>HYPERLINK("http://asia.ensembl.org/Homo_sapiens/Gene/Summary?g=ENSG00000198399", "ENSG00000198399")</f>
        <v>ENSG00000198399</v>
      </c>
      <c r="M1297" s="12" t="s">
        <v>14041</v>
      </c>
      <c r="N1297" s="12" t="s">
        <v>14042</v>
      </c>
    </row>
    <row r="1298" spans="1:14">
      <c r="A1298" s="12" t="s">
        <v>3860</v>
      </c>
      <c r="B1298" s="8">
        <v>835.52687160997596</v>
      </c>
      <c r="C1298" s="12">
        <v>383.918916109615</v>
      </c>
      <c r="D1298" s="8">
        <v>1.1218845828290001</v>
      </c>
      <c r="E1298" s="12">
        <v>1.3920061097160199E-2</v>
      </c>
      <c r="F1298" s="8" t="s">
        <v>3861</v>
      </c>
      <c r="G1298" s="12" t="s">
        <v>3862</v>
      </c>
      <c r="H1298" s="12">
        <v>1</v>
      </c>
      <c r="I1298" s="13" t="str">
        <f>HYPERLINK("http://www.ncbi.nlm.nih.gov/gene/23607", "23607")</f>
        <v>23607</v>
      </c>
      <c r="J1298" s="13" t="str">
        <f>HYPERLINK("http://www.ncbi.nlm.nih.gov/nuccore/NM_012120", "NM_012120")</f>
        <v>NM_012120</v>
      </c>
      <c r="K1298" s="12" t="s">
        <v>3863</v>
      </c>
      <c r="L1298" s="13" t="str">
        <f>HYPERLINK("http://asia.ensembl.org/Homo_sapiens/Gene/Summary?g=ENSG00000198087", "ENSG00000198087")</f>
        <v>ENSG00000198087</v>
      </c>
      <c r="M1298" s="12" t="s">
        <v>13108</v>
      </c>
      <c r="N1298" s="12" t="s">
        <v>3864</v>
      </c>
    </row>
    <row r="1299" spans="1:14">
      <c r="A1299" s="12" t="s">
        <v>10513</v>
      </c>
      <c r="B1299" s="8">
        <v>3245.0510436740801</v>
      </c>
      <c r="C1299" s="12">
        <v>1491.2090555433799</v>
      </c>
      <c r="D1299" s="8">
        <v>1.121758645493</v>
      </c>
      <c r="E1299" s="12">
        <v>3.2691636682805501E-3</v>
      </c>
      <c r="F1299" s="8" t="s">
        <v>3004</v>
      </c>
      <c r="G1299" s="12" t="s">
        <v>3005</v>
      </c>
      <c r="H1299" s="12">
        <v>1</v>
      </c>
      <c r="I1299" s="13" t="str">
        <f>HYPERLINK("http://www.ncbi.nlm.nih.gov/gene/5965", "5965")</f>
        <v>5965</v>
      </c>
      <c r="J1299" s="12" t="s">
        <v>12862</v>
      </c>
      <c r="K1299" s="12" t="s">
        <v>12863</v>
      </c>
      <c r="L1299" s="13" t="str">
        <f>HYPERLINK("http://asia.ensembl.org/Homo_sapiens/Gene/Summary?g=ENSG00000004700", "ENSG00000004700")</f>
        <v>ENSG00000004700</v>
      </c>
      <c r="M1299" s="12" t="s">
        <v>12864</v>
      </c>
      <c r="N1299" s="12" t="s">
        <v>12865</v>
      </c>
    </row>
    <row r="1300" spans="1:14">
      <c r="A1300" s="12" t="s">
        <v>2294</v>
      </c>
      <c r="B1300" s="8">
        <v>691.26764168184195</v>
      </c>
      <c r="C1300" s="12">
        <v>317.72865997926999</v>
      </c>
      <c r="D1300" s="8">
        <v>1.12144916361208</v>
      </c>
      <c r="E1300" s="12">
        <v>7.6120624602587202E-3</v>
      </c>
      <c r="F1300" s="8" t="s">
        <v>2295</v>
      </c>
      <c r="G1300" s="12" t="s">
        <v>2296</v>
      </c>
      <c r="H1300" s="12">
        <v>1</v>
      </c>
      <c r="I1300" s="13" t="str">
        <f>HYPERLINK("http://www.ncbi.nlm.nih.gov/gene/7321", "7321")</f>
        <v>7321</v>
      </c>
      <c r="J1300" s="12" t="s">
        <v>12599</v>
      </c>
      <c r="K1300" s="12" t="s">
        <v>12600</v>
      </c>
      <c r="L1300" s="13" t="str">
        <f>HYPERLINK("http://asia.ensembl.org/Homo_sapiens/Gene/Summary?g=ENSG00000072401", "ENSG00000072401")</f>
        <v>ENSG00000072401</v>
      </c>
      <c r="M1300" s="12" t="s">
        <v>12601</v>
      </c>
      <c r="N1300" s="12" t="s">
        <v>12602</v>
      </c>
    </row>
    <row r="1301" spans="1:14">
      <c r="A1301" s="12" t="s">
        <v>10642</v>
      </c>
      <c r="B1301" s="8">
        <v>1756.6995964989001</v>
      </c>
      <c r="C1301" s="12">
        <v>807.56174525989195</v>
      </c>
      <c r="D1301" s="8">
        <v>1.12122302915112</v>
      </c>
      <c r="E1301" s="12">
        <v>1.0999705914280299E-2</v>
      </c>
      <c r="F1301" s="8" t="s">
        <v>5383</v>
      </c>
      <c r="G1301" s="12" t="s">
        <v>5384</v>
      </c>
      <c r="H1301" s="12">
        <v>1</v>
      </c>
      <c r="I1301" s="13" t="str">
        <f>HYPERLINK("http://www.ncbi.nlm.nih.gov/gene/57600", "57600")</f>
        <v>57600</v>
      </c>
      <c r="J1301" s="13" t="str">
        <f>HYPERLINK("http://www.ncbi.nlm.nih.gov/nuccore/NM_020840", "NM_020840")</f>
        <v>NM_020840</v>
      </c>
      <c r="K1301" s="12" t="s">
        <v>5385</v>
      </c>
      <c r="L1301" s="13" t="str">
        <f>HYPERLINK("http://asia.ensembl.org/Homo_sapiens/Gene/Summary?g=ENSG00000052795", "ENSG00000052795")</f>
        <v>ENSG00000052795</v>
      </c>
      <c r="M1301" s="12" t="s">
        <v>13711</v>
      </c>
      <c r="N1301" s="12" t="s">
        <v>13712</v>
      </c>
    </row>
    <row r="1302" spans="1:14">
      <c r="A1302" s="12" t="s">
        <v>6860</v>
      </c>
      <c r="B1302" s="8">
        <v>698.82729964999703</v>
      </c>
      <c r="C1302" s="12">
        <v>321.27901789759301</v>
      </c>
      <c r="D1302" s="8">
        <v>1.1211092038550501</v>
      </c>
      <c r="E1302" s="12">
        <v>8.7154439304037504E-3</v>
      </c>
      <c r="F1302" s="8" t="s">
        <v>6861</v>
      </c>
      <c r="G1302" s="12" t="s">
        <v>6862</v>
      </c>
      <c r="H1302" s="12">
        <v>1</v>
      </c>
      <c r="I1302" s="13" t="str">
        <f>HYPERLINK("http://www.ncbi.nlm.nih.gov/gene/79640", "79640")</f>
        <v>79640</v>
      </c>
      <c r="J1302" s="13" t="str">
        <f>HYPERLINK("http://www.ncbi.nlm.nih.gov/nuccore/NM_001142964", "NM_001142964")</f>
        <v>NM_001142964</v>
      </c>
      <c r="K1302" s="12" t="s">
        <v>6863</v>
      </c>
      <c r="L1302" s="13" t="str">
        <f>HYPERLINK("http://asia.ensembl.org/Homo_sapiens/Gene/Summary?g=ENSG00000184208", "ENSG00000184208")</f>
        <v>ENSG00000184208</v>
      </c>
      <c r="M1302" s="12" t="s">
        <v>14279</v>
      </c>
      <c r="N1302" s="12" t="s">
        <v>6864</v>
      </c>
    </row>
    <row r="1303" spans="1:14">
      <c r="A1303" s="12" t="s">
        <v>5570</v>
      </c>
      <c r="B1303" s="8">
        <v>5612.2821458374901</v>
      </c>
      <c r="C1303" s="12">
        <v>2580.5092840981602</v>
      </c>
      <c r="D1303" s="8">
        <v>1.12093171815307</v>
      </c>
      <c r="E1303" s="12">
        <v>5.5736741257920901E-3</v>
      </c>
      <c r="F1303" s="8" t="s">
        <v>5571</v>
      </c>
      <c r="G1303" s="12" t="s">
        <v>5572</v>
      </c>
      <c r="H1303" s="12">
        <v>1</v>
      </c>
      <c r="I1303" s="13" t="str">
        <f>HYPERLINK("http://www.ncbi.nlm.nih.gov/gene/11097", "11097")</f>
        <v>11097</v>
      </c>
      <c r="J1303" s="13" t="str">
        <f>HYPERLINK("http://www.ncbi.nlm.nih.gov/nuccore/NM_007342", "NM_007342")</f>
        <v>NM_007342</v>
      </c>
      <c r="K1303" s="12" t="s">
        <v>5573</v>
      </c>
      <c r="L1303" s="13" t="str">
        <f>HYPERLINK("http://asia.ensembl.org/Homo_sapiens/Gene/Summary?g=ENSG00000136243", "ENSG00000136243")</f>
        <v>ENSG00000136243</v>
      </c>
      <c r="M1303" s="12" t="s">
        <v>13832</v>
      </c>
      <c r="N1303" s="12" t="s">
        <v>13833</v>
      </c>
    </row>
    <row r="1304" spans="1:14">
      <c r="A1304" s="12" t="s">
        <v>4220</v>
      </c>
      <c r="B1304" s="8">
        <v>4867.2081422257497</v>
      </c>
      <c r="C1304" s="12">
        <v>2238.48168799215</v>
      </c>
      <c r="D1304" s="8">
        <v>1.1205739553709499</v>
      </c>
      <c r="E1304" s="12">
        <v>7.4497549249064599E-3</v>
      </c>
      <c r="F1304" s="8" t="s">
        <v>4221</v>
      </c>
      <c r="G1304" s="12" t="s">
        <v>13169</v>
      </c>
      <c r="H1304" s="12">
        <v>1</v>
      </c>
      <c r="I1304" s="13" t="str">
        <f>HYPERLINK("http://www.ncbi.nlm.nih.gov/gene/3915", "3915")</f>
        <v>3915</v>
      </c>
      <c r="J1304" s="13" t="str">
        <f>HYPERLINK("http://www.ncbi.nlm.nih.gov/nuccore/NM_002293", "NM_002293")</f>
        <v>NM_002293</v>
      </c>
      <c r="K1304" s="12" t="s">
        <v>4222</v>
      </c>
      <c r="L1304" s="13" t="str">
        <f>HYPERLINK("http://asia.ensembl.org/Homo_sapiens/Gene/Summary?g=ENSG00000135862", "ENSG00000135862")</f>
        <v>ENSG00000135862</v>
      </c>
      <c r="M1304" s="12" t="s">
        <v>13170</v>
      </c>
      <c r="N1304" s="12" t="s">
        <v>13171</v>
      </c>
    </row>
    <row r="1305" spans="1:14">
      <c r="A1305" s="12" t="s">
        <v>5559</v>
      </c>
      <c r="B1305" s="8">
        <v>12610.9227134926</v>
      </c>
      <c r="C1305" s="12">
        <v>5800.2276519622401</v>
      </c>
      <c r="D1305" s="8">
        <v>1.1204924078427501</v>
      </c>
      <c r="E1305" s="12">
        <v>3.82260820362157E-3</v>
      </c>
      <c r="F1305" s="8" t="s">
        <v>5560</v>
      </c>
      <c r="G1305" s="12" t="s">
        <v>13823</v>
      </c>
      <c r="H1305" s="12">
        <v>1</v>
      </c>
      <c r="I1305" s="13" t="str">
        <f>HYPERLINK("http://www.ncbi.nlm.nih.gov/gene/8087", "8087")</f>
        <v>8087</v>
      </c>
      <c r="J1305" s="12" t="s">
        <v>13824</v>
      </c>
      <c r="K1305" s="12" t="s">
        <v>13825</v>
      </c>
      <c r="L1305" s="13" t="str">
        <f>HYPERLINK("http://asia.ensembl.org/Homo_sapiens/Gene/Summary?g=ENSG00000114416", "ENSG00000114416")</f>
        <v>ENSG00000114416</v>
      </c>
      <c r="M1305" s="12" t="s">
        <v>13826</v>
      </c>
      <c r="N1305" s="12" t="s">
        <v>13827</v>
      </c>
    </row>
    <row r="1306" spans="1:14">
      <c r="A1306" s="12" t="s">
        <v>9006</v>
      </c>
      <c r="B1306" s="8">
        <v>411.08130548799397</v>
      </c>
      <c r="C1306" s="12">
        <v>189.12794288951201</v>
      </c>
      <c r="D1306" s="8">
        <v>1.1200612333678699</v>
      </c>
      <c r="E1306" s="12">
        <v>6.7446234416444102E-3</v>
      </c>
      <c r="F1306" s="8" t="s">
        <v>9007</v>
      </c>
      <c r="G1306" s="12" t="s">
        <v>9008</v>
      </c>
      <c r="H1306" s="12">
        <v>1</v>
      </c>
      <c r="I1306" s="13" t="str">
        <f>HYPERLINK("http://www.ncbi.nlm.nih.gov/gene/23111", "23111")</f>
        <v>23111</v>
      </c>
      <c r="J1306" s="12" t="s">
        <v>14964</v>
      </c>
      <c r="K1306" s="12" t="s">
        <v>14965</v>
      </c>
      <c r="L1306" s="13" t="str">
        <f>HYPERLINK("http://asia.ensembl.org/Homo_sapiens/Gene/Summary?g=ENSG00000133104", "ENSG00000133104")</f>
        <v>ENSG00000133104</v>
      </c>
      <c r="M1306" s="12" t="s">
        <v>14966</v>
      </c>
      <c r="N1306" s="12" t="s">
        <v>14967</v>
      </c>
    </row>
    <row r="1307" spans="1:14">
      <c r="A1307" s="12" t="s">
        <v>10734</v>
      </c>
      <c r="B1307" s="8">
        <v>173.686505320153</v>
      </c>
      <c r="C1307" s="12">
        <v>79.921142810561406</v>
      </c>
      <c r="D1307" s="8">
        <v>1.1198365495098099</v>
      </c>
      <c r="E1307" s="12">
        <v>1.1252431421381799E-2</v>
      </c>
      <c r="F1307" s="8" t="s">
        <v>4938</v>
      </c>
      <c r="G1307" s="12" t="s">
        <v>4939</v>
      </c>
      <c r="H1307" s="12">
        <v>1</v>
      </c>
      <c r="I1307" s="13" t="str">
        <f>HYPERLINK("http://www.ncbi.nlm.nih.gov/gene/84333", "84333")</f>
        <v>84333</v>
      </c>
      <c r="J1307" s="12" t="s">
        <v>13493</v>
      </c>
      <c r="K1307" s="12" t="s">
        <v>13494</v>
      </c>
      <c r="L1307" s="13" t="str">
        <f>HYPERLINK("http://asia.ensembl.org/Homo_sapiens/Gene/Summary?g=ENSG00000180628", "ENSG00000180628")</f>
        <v>ENSG00000180628</v>
      </c>
      <c r="M1307" s="12" t="s">
        <v>13495</v>
      </c>
      <c r="N1307" s="12" t="s">
        <v>13496</v>
      </c>
    </row>
    <row r="1308" spans="1:14">
      <c r="A1308" s="12" t="s">
        <v>2463</v>
      </c>
      <c r="B1308" s="8">
        <v>2867.00790488435</v>
      </c>
      <c r="C1308" s="12">
        <v>1321.24204043896</v>
      </c>
      <c r="D1308" s="8">
        <v>1.11765110196413</v>
      </c>
      <c r="E1308" s="12">
        <v>1.39839099536766E-2</v>
      </c>
      <c r="F1308" s="8" t="s">
        <v>2464</v>
      </c>
      <c r="G1308" s="12" t="s">
        <v>12661</v>
      </c>
      <c r="H1308" s="12">
        <v>1</v>
      </c>
      <c r="I1308" s="13" t="str">
        <f>HYPERLINK("http://www.ncbi.nlm.nih.gov/gene/66008", "66008")</f>
        <v>66008</v>
      </c>
      <c r="J1308" s="13" t="str">
        <f>HYPERLINK("http://www.ncbi.nlm.nih.gov/nuccore/NM_015049", "NM_015049")</f>
        <v>NM_015049</v>
      </c>
      <c r="K1308" s="12" t="s">
        <v>2465</v>
      </c>
      <c r="L1308" s="13" t="str">
        <f>HYPERLINK("http://asia.ensembl.org/Homo_sapiens/Gene/Summary?g=ENSG00000115993", "ENSG00000115993")</f>
        <v>ENSG00000115993</v>
      </c>
      <c r="M1308" s="12" t="s">
        <v>12662</v>
      </c>
      <c r="N1308" s="12" t="s">
        <v>12663</v>
      </c>
    </row>
    <row r="1309" spans="1:14">
      <c r="A1309" s="12" t="s">
        <v>5412</v>
      </c>
      <c r="B1309" s="8">
        <v>1048.36122734119</v>
      </c>
      <c r="C1309" s="12">
        <v>483.20662421621199</v>
      </c>
      <c r="D1309" s="8">
        <v>1.11742376541156</v>
      </c>
      <c r="E1309" s="12">
        <v>5.2138368767275503E-3</v>
      </c>
      <c r="F1309" s="8" t="s">
        <v>5413</v>
      </c>
      <c r="G1309" s="12" t="s">
        <v>5414</v>
      </c>
      <c r="H1309" s="12">
        <v>1</v>
      </c>
      <c r="I1309" s="13" t="str">
        <f>HYPERLINK("http://www.ncbi.nlm.nih.gov/gene/81611", "81611")</f>
        <v>81611</v>
      </c>
      <c r="J1309" s="12" t="s">
        <v>13736</v>
      </c>
      <c r="K1309" s="12" t="s">
        <v>13737</v>
      </c>
      <c r="L1309" s="13" t="str">
        <f>HYPERLINK("http://asia.ensembl.org/Homo_sapiens/Gene/Summary?g=ENSG00000143401", "ENSG00000143401")</f>
        <v>ENSG00000143401</v>
      </c>
      <c r="M1309" s="12" t="s">
        <v>13738</v>
      </c>
      <c r="N1309" s="12" t="s">
        <v>13739</v>
      </c>
    </row>
    <row r="1310" spans="1:14">
      <c r="A1310" s="12" t="s">
        <v>9960</v>
      </c>
      <c r="B1310" s="8">
        <v>110.011420171038</v>
      </c>
      <c r="C1310" s="12">
        <v>50.706181286122302</v>
      </c>
      <c r="D1310" s="8">
        <v>1.1174197628423801</v>
      </c>
      <c r="E1310" s="12">
        <v>1.58589453921958E-3</v>
      </c>
      <c r="F1310" s="8" t="s">
        <v>450</v>
      </c>
      <c r="G1310" s="12" t="s">
        <v>451</v>
      </c>
      <c r="H1310" s="12">
        <v>1</v>
      </c>
      <c r="I1310" s="13" t="str">
        <f>HYPERLINK("http://www.ncbi.nlm.nih.gov/gene/10395", "10395")</f>
        <v>10395</v>
      </c>
      <c r="J1310" s="13" t="str">
        <f>HYPERLINK("http://www.ncbi.nlm.nih.gov/nuccore/NM_024767", "NM_024767")</f>
        <v>NM_024767</v>
      </c>
      <c r="K1310" s="12" t="s">
        <v>9961</v>
      </c>
      <c r="L1310" s="13" t="str">
        <f>HYPERLINK("http://asia.ensembl.org/Homo_sapiens/Gene/Summary?g=ENSG00000164741", "ENSG00000164741")</f>
        <v>ENSG00000164741</v>
      </c>
      <c r="M1310" s="12" t="s">
        <v>11987</v>
      </c>
      <c r="N1310" s="12" t="s">
        <v>11988</v>
      </c>
    </row>
    <row r="1311" spans="1:14">
      <c r="A1311" s="12" t="s">
        <v>8037</v>
      </c>
      <c r="B1311" s="8">
        <v>175.675309270795</v>
      </c>
      <c r="C1311" s="12">
        <v>80.979747118009001</v>
      </c>
      <c r="D1311" s="8">
        <v>1.1172783954689101</v>
      </c>
      <c r="E1311" s="12">
        <v>1.33568532335653E-3</v>
      </c>
      <c r="F1311" s="8" t="s">
        <v>4345</v>
      </c>
      <c r="G1311" s="12" t="s">
        <v>4346</v>
      </c>
      <c r="H1311" s="12">
        <v>1</v>
      </c>
      <c r="I1311" s="13" t="str">
        <f>HYPERLINK("http://www.ncbi.nlm.nih.gov/gene/79739", "79739")</f>
        <v>79739</v>
      </c>
      <c r="J1311" s="13" t="str">
        <f>HYPERLINK("http://www.ncbi.nlm.nih.gov/nuccore/NM_024686", "NM_024686")</f>
        <v>NM_024686</v>
      </c>
      <c r="K1311" s="12" t="s">
        <v>4347</v>
      </c>
      <c r="L1311" s="13" t="str">
        <f>HYPERLINK("http://asia.ensembl.org/Homo_sapiens/Gene/Summary?g=ENSG00000137941", "ENSG00000137941")</f>
        <v>ENSG00000137941</v>
      </c>
      <c r="M1311" s="12" t="s">
        <v>13204</v>
      </c>
      <c r="N1311" s="12" t="s">
        <v>13205</v>
      </c>
    </row>
    <row r="1312" spans="1:14">
      <c r="A1312" s="12" t="s">
        <v>5181</v>
      </c>
      <c r="B1312" s="8">
        <v>108.45419072048</v>
      </c>
      <c r="C1312" s="12">
        <v>50</v>
      </c>
      <c r="D1312" s="8">
        <v>1.11708580049607</v>
      </c>
      <c r="E1312" s="12">
        <v>6.28363525361485E-5</v>
      </c>
      <c r="F1312" s="8" t="s">
        <v>5182</v>
      </c>
      <c r="G1312" s="12" t="s">
        <v>136</v>
      </c>
      <c r="H1312" s="12">
        <v>1</v>
      </c>
      <c r="I1312" s="13" t="str">
        <f>HYPERLINK("http://www.ncbi.nlm.nih.gov/gene/56477", "56477")</f>
        <v>56477</v>
      </c>
      <c r="J1312" s="13" t="str">
        <f>HYPERLINK("http://www.ncbi.nlm.nih.gov/nuccore/NM_148672", "NM_148672")</f>
        <v>NM_148672</v>
      </c>
      <c r="K1312" s="12" t="s">
        <v>5183</v>
      </c>
      <c r="L1312" s="13" t="str">
        <f>HYPERLINK("http://asia.ensembl.org/Homo_sapiens/Gene/Summary?g=ENSG00000151882", "ENSG00000151882")</f>
        <v>ENSG00000151882</v>
      </c>
      <c r="M1312" s="12" t="s">
        <v>13623</v>
      </c>
      <c r="N1312" s="12" t="s">
        <v>13624</v>
      </c>
    </row>
    <row r="1313" spans="1:14">
      <c r="A1313" s="12" t="s">
        <v>2735</v>
      </c>
      <c r="B1313" s="8">
        <v>1367.0017741578899</v>
      </c>
      <c r="C1313" s="12">
        <v>630.22943723236199</v>
      </c>
      <c r="D1313" s="8">
        <v>1.11706606781021</v>
      </c>
      <c r="E1313" s="12">
        <v>1.65786046729164E-3</v>
      </c>
      <c r="F1313" s="8" t="s">
        <v>2736</v>
      </c>
      <c r="G1313" s="12" t="s">
        <v>2737</v>
      </c>
      <c r="H1313" s="12">
        <v>1</v>
      </c>
      <c r="I1313" s="13" t="str">
        <f>HYPERLINK("http://www.ncbi.nlm.nih.gov/gene/96764", "96764")</f>
        <v>96764</v>
      </c>
      <c r="J1313" s="13" t="str">
        <f>HYPERLINK("http://www.ncbi.nlm.nih.gov/nuccore/NM_024831", "NM_024831")</f>
        <v>NM_024831</v>
      </c>
      <c r="K1313" s="12" t="s">
        <v>2738</v>
      </c>
      <c r="L1313" s="13" t="str">
        <f>HYPERLINK("http://asia.ensembl.org/Homo_sapiens/Gene/Summary?g=ENSG00000137574", "ENSG00000137574")</f>
        <v>ENSG00000137574</v>
      </c>
      <c r="M1313" s="12" t="s">
        <v>12762</v>
      </c>
      <c r="N1313" s="12" t="s">
        <v>12763</v>
      </c>
    </row>
    <row r="1314" spans="1:14">
      <c r="A1314" s="12" t="s">
        <v>8202</v>
      </c>
      <c r="B1314" s="8">
        <v>113.42945857059399</v>
      </c>
      <c r="C1314" s="12">
        <v>52.297367721047998</v>
      </c>
      <c r="D1314" s="8">
        <v>1.11698513043701</v>
      </c>
      <c r="E1314" s="12">
        <v>1.01965067315288E-3</v>
      </c>
      <c r="F1314" s="8" t="s">
        <v>8203</v>
      </c>
      <c r="G1314" s="12" t="s">
        <v>14701</v>
      </c>
      <c r="H1314" s="12">
        <v>1</v>
      </c>
      <c r="I1314" s="13" t="str">
        <f>HYPERLINK("http://www.ncbi.nlm.nih.gov/gene/64151", "64151")</f>
        <v>64151</v>
      </c>
      <c r="J1314" s="12" t="s">
        <v>14702</v>
      </c>
      <c r="K1314" s="12" t="s">
        <v>14703</v>
      </c>
      <c r="L1314" s="13" t="str">
        <f>HYPERLINK("http://asia.ensembl.org/Homo_sapiens/Gene/Summary?g=ENSG00000109805", "ENSG00000109805")</f>
        <v>ENSG00000109805</v>
      </c>
      <c r="M1314" s="12" t="s">
        <v>14704</v>
      </c>
      <c r="N1314" s="12" t="s">
        <v>14705</v>
      </c>
    </row>
    <row r="1315" spans="1:14">
      <c r="A1315" s="12" t="s">
        <v>10598</v>
      </c>
      <c r="B1315" s="8">
        <v>4692.0419753657898</v>
      </c>
      <c r="C1315" s="12">
        <v>2163.4961006394601</v>
      </c>
      <c r="D1315" s="8">
        <v>1.1168513993522999</v>
      </c>
      <c r="E1315" s="12">
        <v>1.3429633526478801E-3</v>
      </c>
      <c r="F1315" s="8" t="s">
        <v>8344</v>
      </c>
      <c r="G1315" s="12" t="s">
        <v>8345</v>
      </c>
      <c r="H1315" s="12">
        <v>1</v>
      </c>
      <c r="I1315" s="13" t="str">
        <f>HYPERLINK("http://www.ncbi.nlm.nih.gov/gene/56907", "56907")</f>
        <v>56907</v>
      </c>
      <c r="J1315" s="12" t="s">
        <v>15610</v>
      </c>
      <c r="K1315" s="12" t="s">
        <v>15611</v>
      </c>
      <c r="L1315" s="13" t="str">
        <f>HYPERLINK("http://asia.ensembl.org/Homo_sapiens/Gene/Summary?g=ENSG00000134278", "ENSG00000134278")</f>
        <v>ENSG00000134278</v>
      </c>
      <c r="M1315" s="12" t="s">
        <v>15612</v>
      </c>
      <c r="N1315" s="12" t="s">
        <v>15613</v>
      </c>
    </row>
    <row r="1316" spans="1:14">
      <c r="A1316" s="12" t="s">
        <v>6177</v>
      </c>
      <c r="B1316" s="8">
        <v>413.56567129898701</v>
      </c>
      <c r="C1316" s="12">
        <v>190.71920470533999</v>
      </c>
      <c r="D1316" s="8">
        <v>1.11666631241973</v>
      </c>
      <c r="E1316" s="12">
        <v>5.4317281490476399E-3</v>
      </c>
      <c r="F1316" s="8" t="s">
        <v>6178</v>
      </c>
      <c r="G1316" s="12" t="s">
        <v>6179</v>
      </c>
      <c r="H1316" s="12">
        <v>1</v>
      </c>
      <c r="I1316" s="13" t="str">
        <f>HYPERLINK("http://www.ncbi.nlm.nih.gov/gene/22911", "22911")</f>
        <v>22911</v>
      </c>
      <c r="J1316" s="12" t="s">
        <v>14077</v>
      </c>
      <c r="K1316" s="12" t="s">
        <v>14078</v>
      </c>
      <c r="L1316" s="13" t="str">
        <f>HYPERLINK("http://asia.ensembl.org/Homo_sapiens/Gene/Summary?g=ENSG00000085433", "ENSG00000085433")</f>
        <v>ENSG00000085433</v>
      </c>
      <c r="M1316" s="12" t="s">
        <v>14079</v>
      </c>
      <c r="N1316" s="12" t="s">
        <v>14080</v>
      </c>
    </row>
    <row r="1317" spans="1:14">
      <c r="A1317" s="12" t="s">
        <v>1785</v>
      </c>
      <c r="B1317" s="8">
        <v>630.13126595889196</v>
      </c>
      <c r="C1317" s="12">
        <v>290.66108455498397</v>
      </c>
      <c r="D1317" s="8">
        <v>1.1163144675535801</v>
      </c>
      <c r="E1317" s="12">
        <v>9.9047697236097406E-3</v>
      </c>
      <c r="F1317" s="8" t="s">
        <v>1786</v>
      </c>
      <c r="G1317" s="12" t="s">
        <v>1787</v>
      </c>
      <c r="H1317" s="12">
        <v>1</v>
      </c>
      <c r="I1317" s="13" t="str">
        <f>HYPERLINK("http://www.ncbi.nlm.nih.gov/gene/81617", "81617")</f>
        <v>81617</v>
      </c>
      <c r="J1317" s="12" t="s">
        <v>12419</v>
      </c>
      <c r="K1317" s="12" t="s">
        <v>12420</v>
      </c>
      <c r="L1317" s="13" t="str">
        <f>HYPERLINK("http://asia.ensembl.org/Homo_sapiens/Gene/Summary?g=ENSG00000102547", "ENSG00000102547")</f>
        <v>ENSG00000102547</v>
      </c>
      <c r="M1317" s="12" t="s">
        <v>12421</v>
      </c>
      <c r="N1317" s="12" t="s">
        <v>12422</v>
      </c>
    </row>
    <row r="1318" spans="1:14">
      <c r="A1318" s="12" t="s">
        <v>3196</v>
      </c>
      <c r="B1318" s="8">
        <v>160.649597647782</v>
      </c>
      <c r="C1318" s="12">
        <v>74.115818814917603</v>
      </c>
      <c r="D1318" s="8">
        <v>1.11606396725852</v>
      </c>
      <c r="E1318" s="12">
        <v>1.0817960180307701E-2</v>
      </c>
      <c r="F1318" s="8" t="s">
        <v>3197</v>
      </c>
      <c r="G1318" s="12" t="s">
        <v>3198</v>
      </c>
      <c r="H1318" s="12">
        <v>1</v>
      </c>
      <c r="I1318" s="13" t="str">
        <f>HYPERLINK("http://www.ncbi.nlm.nih.gov/gene/55824", "55824")</f>
        <v>55824</v>
      </c>
      <c r="J1318" s="13" t="str">
        <f>HYPERLINK("http://www.ncbi.nlm.nih.gov/nuccore/NM_018440", "NM_018440")</f>
        <v>NM_018440</v>
      </c>
      <c r="K1318" s="12" t="s">
        <v>3199</v>
      </c>
      <c r="L1318" s="13" t="str">
        <f>HYPERLINK("http://asia.ensembl.org/Homo_sapiens/Gene/Summary?g=ENSG00000076641", "ENSG00000076641")</f>
        <v>ENSG00000076641</v>
      </c>
      <c r="M1318" s="12" t="s">
        <v>12902</v>
      </c>
      <c r="N1318" s="12" t="s">
        <v>3200</v>
      </c>
    </row>
    <row r="1319" spans="1:14">
      <c r="A1319" s="12" t="s">
        <v>1673</v>
      </c>
      <c r="B1319" s="8">
        <v>5143.4189002372004</v>
      </c>
      <c r="C1319" s="12">
        <v>2373.39032660167</v>
      </c>
      <c r="D1319" s="8">
        <v>1.1157782722674801</v>
      </c>
      <c r="E1319" s="12">
        <v>7.4365942779271504E-3</v>
      </c>
      <c r="F1319" s="8" t="s">
        <v>1674</v>
      </c>
      <c r="G1319" s="12" t="s">
        <v>12385</v>
      </c>
      <c r="H1319" s="12">
        <v>1</v>
      </c>
      <c r="I1319" s="13" t="str">
        <f>HYPERLINK("http://www.ncbi.nlm.nih.gov/gene/23172", "23172")</f>
        <v>23172</v>
      </c>
      <c r="J1319" s="13" t="str">
        <f>HYPERLINK("http://www.ncbi.nlm.nih.gov/nuccore/NM_032182", "NM_032182")</f>
        <v>NM_032182</v>
      </c>
      <c r="K1319" s="12" t="s">
        <v>1675</v>
      </c>
      <c r="L1319" s="13" t="str">
        <f>HYPERLINK("http://asia.ensembl.org/Homo_sapiens/Gene/Summary?g=ENSG00000165660", "ENSG00000165660")</f>
        <v>ENSG00000165660</v>
      </c>
      <c r="M1319" s="12" t="s">
        <v>1676</v>
      </c>
      <c r="N1319" s="12" t="s">
        <v>1677</v>
      </c>
    </row>
    <row r="1320" spans="1:14">
      <c r="A1320" s="12" t="s">
        <v>10824</v>
      </c>
      <c r="B1320" s="8">
        <v>1710.75616036827</v>
      </c>
      <c r="C1320" s="12">
        <v>789.80230754020999</v>
      </c>
      <c r="D1320" s="8">
        <v>1.11507065447773</v>
      </c>
      <c r="E1320" s="12">
        <v>5.5821402626464499E-3</v>
      </c>
      <c r="F1320" s="8" t="s">
        <v>1759</v>
      </c>
      <c r="G1320" s="12" t="s">
        <v>15921</v>
      </c>
      <c r="H1320" s="12">
        <v>1</v>
      </c>
      <c r="I1320" s="13" t="str">
        <f>HYPERLINK("http://www.ncbi.nlm.nih.gov/gene/84668", "84668")</f>
        <v>84668</v>
      </c>
      <c r="J1320" s="13" t="str">
        <f>HYPERLINK("http://www.ncbi.nlm.nih.gov/nuccore/NM_032581", "NM_032581")</f>
        <v>NM_032581</v>
      </c>
      <c r="K1320" s="12" t="s">
        <v>1760</v>
      </c>
      <c r="L1320" s="13" t="str">
        <f>HYPERLINK("http://asia.ensembl.org/Homo_sapiens/Gene/Summary?g=ENSG00000122591", "ENSG00000122591")</f>
        <v>ENSG00000122591</v>
      </c>
      <c r="M1320" s="12" t="s">
        <v>15922</v>
      </c>
      <c r="N1320" s="12" t="s">
        <v>15923</v>
      </c>
    </row>
    <row r="1321" spans="1:14">
      <c r="A1321" s="12" t="s">
        <v>7628</v>
      </c>
      <c r="B1321" s="8">
        <v>575.61231845294606</v>
      </c>
      <c r="C1321" s="12">
        <v>265.77702307522998</v>
      </c>
      <c r="D1321" s="8">
        <v>1.11488108065943</v>
      </c>
      <c r="E1321" s="12">
        <v>9.1759471367323204E-4</v>
      </c>
      <c r="F1321" s="8" t="s">
        <v>7629</v>
      </c>
      <c r="G1321" s="12" t="s">
        <v>14485</v>
      </c>
      <c r="H1321" s="12">
        <v>1</v>
      </c>
      <c r="I1321" s="13" t="str">
        <f>HYPERLINK("http://www.ncbi.nlm.nih.gov/gene/2553", "2553")</f>
        <v>2553</v>
      </c>
      <c r="J1321" s="12" t="s">
        <v>14486</v>
      </c>
      <c r="K1321" s="12" t="s">
        <v>14487</v>
      </c>
      <c r="L1321" s="13" t="str">
        <f>HYPERLINK("http://asia.ensembl.org/Homo_sapiens/Gene/Summary?g=ENSG00000104064", "ENSG00000104064")</f>
        <v>ENSG00000104064</v>
      </c>
      <c r="M1321" s="12" t="s">
        <v>7630</v>
      </c>
      <c r="N1321" s="12" t="s">
        <v>7631</v>
      </c>
    </row>
    <row r="1322" spans="1:14">
      <c r="A1322" s="12" t="s">
        <v>5974</v>
      </c>
      <c r="B1322" s="8">
        <v>2518.1007348824401</v>
      </c>
      <c r="C1322" s="12">
        <v>1163.002400459</v>
      </c>
      <c r="D1322" s="8">
        <v>1.1144819236669199</v>
      </c>
      <c r="E1322" s="12">
        <v>2.08841175384285E-2</v>
      </c>
      <c r="F1322" s="8" t="s">
        <v>5975</v>
      </c>
      <c r="G1322" s="12" t="s">
        <v>5976</v>
      </c>
      <c r="H1322" s="12">
        <v>1</v>
      </c>
      <c r="I1322" s="13" t="str">
        <f>HYPERLINK("http://www.ncbi.nlm.nih.gov/gene/1523", "1523")</f>
        <v>1523</v>
      </c>
      <c r="J1322" s="12" t="s">
        <v>13991</v>
      </c>
      <c r="K1322" s="12" t="s">
        <v>13992</v>
      </c>
      <c r="L1322" s="13" t="str">
        <f>HYPERLINK("http://asia.ensembl.org/Homo_sapiens/Gene/Summary?g=ENSG00000257923", "ENSG00000257923")</f>
        <v>ENSG00000257923</v>
      </c>
      <c r="M1322" s="12" t="s">
        <v>13993</v>
      </c>
      <c r="N1322" s="12" t="s">
        <v>13994</v>
      </c>
    </row>
    <row r="1323" spans="1:14">
      <c r="A1323" s="12" t="s">
        <v>10061</v>
      </c>
      <c r="B1323" s="8">
        <v>131.775055433728</v>
      </c>
      <c r="C1323" s="12">
        <v>60.866129000658198</v>
      </c>
      <c r="D1323" s="8">
        <v>1.1143657784744301</v>
      </c>
      <c r="E1323" s="12">
        <v>9.4107316981633399E-3</v>
      </c>
      <c r="F1323" s="8" t="s">
        <v>3971</v>
      </c>
      <c r="G1323" s="12" t="s">
        <v>3972</v>
      </c>
      <c r="H1323" s="12">
        <v>1</v>
      </c>
      <c r="I1323" s="13" t="str">
        <f>HYPERLINK("http://www.ncbi.nlm.nih.gov/gene/3082", "3082")</f>
        <v>3082</v>
      </c>
      <c r="J1323" s="13" t="str">
        <f>HYPERLINK("http://www.ncbi.nlm.nih.gov/nuccore/NM_001010934", "NM_001010934")</f>
        <v>NM_001010934</v>
      </c>
      <c r="K1323" s="12" t="s">
        <v>10062</v>
      </c>
      <c r="L1323" s="13" t="str">
        <f>HYPERLINK("http://asia.ensembl.org/Homo_sapiens/Gene/Summary?g=ENSG00000019991", "ENSG00000019991")</f>
        <v>ENSG00000019991</v>
      </c>
      <c r="M1323" s="12" t="s">
        <v>13144</v>
      </c>
      <c r="N1323" s="12" t="s">
        <v>13145</v>
      </c>
    </row>
    <row r="1324" spans="1:14">
      <c r="A1324" s="12" t="s">
        <v>5617</v>
      </c>
      <c r="B1324" s="8">
        <v>7014.5212390412999</v>
      </c>
      <c r="C1324" s="12">
        <v>3240.5352509273698</v>
      </c>
      <c r="D1324" s="8">
        <v>1.1141125112294501</v>
      </c>
      <c r="E1324" s="12">
        <v>1.0533021807164901E-3</v>
      </c>
      <c r="F1324" s="8" t="s">
        <v>5618</v>
      </c>
      <c r="G1324" s="12" t="s">
        <v>5619</v>
      </c>
      <c r="H1324" s="12">
        <v>1</v>
      </c>
      <c r="I1324" s="13" t="str">
        <f>HYPERLINK("http://www.ncbi.nlm.nih.gov/gene/60682", "60682")</f>
        <v>60682</v>
      </c>
      <c r="J1324" s="12" t="s">
        <v>13843</v>
      </c>
      <c r="K1324" s="12" t="s">
        <v>13844</v>
      </c>
      <c r="L1324" s="13" t="str">
        <f>HYPERLINK("http://asia.ensembl.org/Homo_sapiens/Gene/Summary?g=ENSG00000112305", "ENSG00000112305")</f>
        <v>ENSG00000112305</v>
      </c>
      <c r="M1324" s="12" t="s">
        <v>13845</v>
      </c>
      <c r="N1324" s="12" t="s">
        <v>13846</v>
      </c>
    </row>
    <row r="1325" spans="1:14">
      <c r="A1325" s="12" t="s">
        <v>10742</v>
      </c>
      <c r="B1325" s="8">
        <v>1055.0867806329099</v>
      </c>
      <c r="C1325" s="12">
        <v>487.45345760906901</v>
      </c>
      <c r="D1325" s="8">
        <v>1.1140252840940901</v>
      </c>
      <c r="E1325" s="12">
        <v>3.0805980135505998E-3</v>
      </c>
      <c r="F1325" s="8" t="s">
        <v>4950</v>
      </c>
      <c r="G1325" s="12" t="s">
        <v>15801</v>
      </c>
      <c r="H1325" s="12">
        <v>1</v>
      </c>
      <c r="I1325" s="13" t="str">
        <f>HYPERLINK("http://www.ncbi.nlm.nih.gov/gene/158866", "158866")</f>
        <v>158866</v>
      </c>
      <c r="J1325" s="12" t="s">
        <v>15802</v>
      </c>
      <c r="K1325" s="12" t="s">
        <v>15803</v>
      </c>
      <c r="L1325" s="13" t="str">
        <f>HYPERLINK("http://asia.ensembl.org/Homo_sapiens/Gene/Summary?g=ENSG00000102383", "ENSG00000102383")</f>
        <v>ENSG00000102383</v>
      </c>
      <c r="M1325" s="12" t="s">
        <v>15804</v>
      </c>
      <c r="N1325" s="12" t="s">
        <v>15805</v>
      </c>
    </row>
    <row r="1326" spans="1:14">
      <c r="A1326" s="12" t="s">
        <v>8604</v>
      </c>
      <c r="B1326" s="8">
        <v>1866.42423541378</v>
      </c>
      <c r="C1326" s="12">
        <v>862.48344713156996</v>
      </c>
      <c r="D1326" s="8">
        <v>1.11370827206115</v>
      </c>
      <c r="E1326" s="12">
        <v>9.5668969883935702E-3</v>
      </c>
      <c r="F1326" s="8" t="s">
        <v>2865</v>
      </c>
      <c r="G1326" s="12" t="s">
        <v>2866</v>
      </c>
      <c r="H1326" s="12">
        <v>1</v>
      </c>
      <c r="I1326" s="13" t="str">
        <f>HYPERLINK("http://www.ncbi.nlm.nih.gov/gene/25782", "25782")</f>
        <v>25782</v>
      </c>
      <c r="J1326" s="13" t="str">
        <f>HYPERLINK("http://www.ncbi.nlm.nih.gov/nuccore/NM_012414", "NM_012414")</f>
        <v>NM_012414</v>
      </c>
      <c r="K1326" s="12" t="s">
        <v>2867</v>
      </c>
      <c r="L1326" s="13" t="str">
        <f>HYPERLINK("http://asia.ensembl.org/Homo_sapiens/Gene/Summary?g=ENSG00000118873", "ENSG00000118873")</f>
        <v>ENSG00000118873</v>
      </c>
      <c r="M1326" s="12" t="s">
        <v>12816</v>
      </c>
      <c r="N1326" s="12" t="s">
        <v>12817</v>
      </c>
    </row>
    <row r="1327" spans="1:14">
      <c r="A1327" s="12" t="s">
        <v>10576</v>
      </c>
      <c r="B1327" s="8">
        <v>24493.047310286001</v>
      </c>
      <c r="C1327" s="12">
        <v>11321.1559962723</v>
      </c>
      <c r="D1327" s="8">
        <v>1.11335100003774</v>
      </c>
      <c r="E1327" s="12">
        <v>2.4299811192398202E-3</v>
      </c>
      <c r="F1327" s="8" t="s">
        <v>8590</v>
      </c>
      <c r="G1327" s="12" t="s">
        <v>8591</v>
      </c>
      <c r="H1327" s="12">
        <v>1</v>
      </c>
      <c r="I1327" s="13" t="str">
        <f>HYPERLINK("http://www.ncbi.nlm.nih.gov/gene/3486", "3486")</f>
        <v>3486</v>
      </c>
      <c r="J1327" s="12" t="s">
        <v>14782</v>
      </c>
      <c r="K1327" s="12" t="s">
        <v>14783</v>
      </c>
      <c r="L1327" s="13" t="str">
        <f>HYPERLINK("http://asia.ensembl.org/Homo_sapiens/Gene/Summary?g=ENSG00000146674", "ENSG00000146674")</f>
        <v>ENSG00000146674</v>
      </c>
      <c r="M1327" s="12" t="s">
        <v>14784</v>
      </c>
      <c r="N1327" s="12" t="s">
        <v>14785</v>
      </c>
    </row>
    <row r="1328" spans="1:14">
      <c r="A1328" s="12" t="s">
        <v>10082</v>
      </c>
      <c r="B1328" s="8">
        <v>5485.8676772301396</v>
      </c>
      <c r="C1328" s="12">
        <v>2536.5704611578199</v>
      </c>
      <c r="D1328" s="8">
        <v>1.1128405874626699</v>
      </c>
      <c r="E1328" s="12">
        <v>2.9101022406797599E-3</v>
      </c>
      <c r="F1328" s="8" t="s">
        <v>4861</v>
      </c>
      <c r="G1328" s="12" t="s">
        <v>15288</v>
      </c>
      <c r="H1328" s="12">
        <v>1</v>
      </c>
      <c r="I1328" s="13" t="str">
        <f>HYPERLINK("http://www.ncbi.nlm.nih.gov/gene/6711", "6711")</f>
        <v>6711</v>
      </c>
      <c r="J1328" s="13" t="str">
        <f>HYPERLINK("http://www.ncbi.nlm.nih.gov/nuccore/NM_178313", "NM_178313")</f>
        <v>NM_178313</v>
      </c>
      <c r="K1328" s="12" t="s">
        <v>10083</v>
      </c>
      <c r="L1328" s="13" t="str">
        <f>HYPERLINK("http://asia.ensembl.org/Homo_sapiens/Gene/Summary?g=ENSG00000115306", "ENSG00000115306")</f>
        <v>ENSG00000115306</v>
      </c>
      <c r="M1328" s="12" t="s">
        <v>15289</v>
      </c>
      <c r="N1328" s="12" t="s">
        <v>15290</v>
      </c>
    </row>
    <row r="1329" spans="1:14">
      <c r="A1329" s="12" t="s">
        <v>9641</v>
      </c>
      <c r="B1329" s="8">
        <v>695.83049008439696</v>
      </c>
      <c r="C1329" s="12">
        <v>321.77198618741602</v>
      </c>
      <c r="D1329" s="8">
        <v>1.1126971677772599</v>
      </c>
      <c r="E1329" s="12">
        <v>3.8995223383497201E-3</v>
      </c>
      <c r="F1329" s="8" t="s">
        <v>9642</v>
      </c>
      <c r="G1329" s="12" t="s">
        <v>9643</v>
      </c>
      <c r="H1329" s="12">
        <v>1</v>
      </c>
      <c r="I1329" s="13" t="str">
        <f>HYPERLINK("http://www.ncbi.nlm.nih.gov/gene/55284", "55284")</f>
        <v>55284</v>
      </c>
      <c r="J1329" s="12" t="s">
        <v>15133</v>
      </c>
      <c r="K1329" s="12" t="s">
        <v>15134</v>
      </c>
      <c r="L1329" s="13" t="str">
        <f>HYPERLINK("http://asia.ensembl.org/Homo_sapiens/Gene/Summary?g=ENSG00000104343", "ENSG00000104343")</f>
        <v>ENSG00000104343</v>
      </c>
      <c r="M1329" s="12" t="s">
        <v>15135</v>
      </c>
      <c r="N1329" s="12" t="s">
        <v>15136</v>
      </c>
    </row>
    <row r="1330" spans="1:14">
      <c r="A1330" s="12" t="s">
        <v>11253</v>
      </c>
      <c r="B1330" s="8">
        <v>2438.5378471818499</v>
      </c>
      <c r="C1330" s="12">
        <v>1127.67403520682</v>
      </c>
      <c r="D1330" s="8">
        <v>1.11266626039247</v>
      </c>
      <c r="E1330" s="12">
        <v>1.2961052680210999E-2</v>
      </c>
      <c r="F1330" s="8" t="s">
        <v>5207</v>
      </c>
      <c r="G1330" s="12" t="s">
        <v>5208</v>
      </c>
      <c r="H1330" s="12">
        <v>1</v>
      </c>
      <c r="I1330" s="13" t="str">
        <f>HYPERLINK("http://www.ncbi.nlm.nih.gov/gene/8454", "8454")</f>
        <v>8454</v>
      </c>
      <c r="J1330" s="13" t="str">
        <f>HYPERLINK("http://www.ncbi.nlm.nih.gov/nuccore/NM_003592", "NM_003592")</f>
        <v>NM_003592</v>
      </c>
      <c r="K1330" s="12" t="s">
        <v>5209</v>
      </c>
      <c r="L1330" s="13" t="str">
        <f>HYPERLINK("http://asia.ensembl.org/Homo_sapiens/Gene/Summary?g=ENSG00000055130", "ENSG00000055130")</f>
        <v>ENSG00000055130</v>
      </c>
      <c r="M1330" s="12" t="s">
        <v>16065</v>
      </c>
      <c r="N1330" s="12" t="s">
        <v>16066</v>
      </c>
    </row>
    <row r="1331" spans="1:14">
      <c r="A1331" s="12" t="s">
        <v>449</v>
      </c>
      <c r="B1331" s="8">
        <v>5272.2034771073904</v>
      </c>
      <c r="C1331" s="12">
        <v>2439.2834359994999</v>
      </c>
      <c r="D1331" s="8">
        <v>1.11194864738308</v>
      </c>
      <c r="E1331" s="12">
        <v>1.54051070829465E-2</v>
      </c>
      <c r="F1331" s="8" t="s">
        <v>450</v>
      </c>
      <c r="G1331" s="12" t="s">
        <v>451</v>
      </c>
      <c r="H1331" s="12">
        <v>1</v>
      </c>
      <c r="I1331" s="13" t="str">
        <f>HYPERLINK("http://www.ncbi.nlm.nih.gov/gene/10395", "10395")</f>
        <v>10395</v>
      </c>
      <c r="J1331" s="12" t="s">
        <v>11985</v>
      </c>
      <c r="K1331" s="12" t="s">
        <v>11986</v>
      </c>
      <c r="L1331" s="13" t="str">
        <f>HYPERLINK("http://asia.ensembl.org/Homo_sapiens/Gene/Summary?g=ENSG00000164741", "ENSG00000164741")</f>
        <v>ENSG00000164741</v>
      </c>
      <c r="M1331" s="12" t="s">
        <v>11987</v>
      </c>
      <c r="N1331" s="12" t="s">
        <v>11988</v>
      </c>
    </row>
    <row r="1332" spans="1:14">
      <c r="A1332" s="12" t="s">
        <v>1486</v>
      </c>
      <c r="B1332" s="8">
        <v>9698.9162840623594</v>
      </c>
      <c r="C1332" s="12">
        <v>4489.1571457740802</v>
      </c>
      <c r="D1332" s="8">
        <v>1.1113789560688401</v>
      </c>
      <c r="E1332" s="12">
        <v>1.32772204425467E-2</v>
      </c>
      <c r="F1332" s="8" t="s">
        <v>1487</v>
      </c>
      <c r="G1332" s="12" t="s">
        <v>1488</v>
      </c>
      <c r="H1332" s="12">
        <v>1</v>
      </c>
      <c r="I1332" s="13" t="str">
        <f>HYPERLINK("http://www.ncbi.nlm.nih.gov/gene/9354", "9354")</f>
        <v>9354</v>
      </c>
      <c r="J1332" s="12" t="s">
        <v>12336</v>
      </c>
      <c r="K1332" s="12" t="s">
        <v>12337</v>
      </c>
      <c r="L1332" s="13" t="str">
        <f>HYPERLINK("http://asia.ensembl.org/Homo_sapiens/Gene/Summary?g=ENSG00000110344", "ENSG00000110344")</f>
        <v>ENSG00000110344</v>
      </c>
      <c r="M1332" s="12" t="s">
        <v>12338</v>
      </c>
      <c r="N1332" s="12" t="s">
        <v>12339</v>
      </c>
    </row>
    <row r="1333" spans="1:14">
      <c r="A1333" s="12" t="s">
        <v>7987</v>
      </c>
      <c r="B1333" s="8">
        <v>163.990248642685</v>
      </c>
      <c r="C1333" s="12">
        <v>75.913400393216094</v>
      </c>
      <c r="D1333" s="8">
        <v>1.1111835495748399</v>
      </c>
      <c r="E1333" s="12">
        <v>3.39227830836726E-3</v>
      </c>
      <c r="F1333" s="8" t="s">
        <v>7988</v>
      </c>
      <c r="G1333" s="12" t="s">
        <v>7989</v>
      </c>
      <c r="H1333" s="12">
        <v>1</v>
      </c>
      <c r="I1333" s="13" t="str">
        <f>HYPERLINK("http://www.ncbi.nlm.nih.gov/gene/55008", "55008")</f>
        <v>55008</v>
      </c>
      <c r="J1333" s="12" t="s">
        <v>14636</v>
      </c>
      <c r="K1333" s="12" t="s">
        <v>14637</v>
      </c>
      <c r="L1333" s="13" t="str">
        <f>HYPERLINK("http://asia.ensembl.org/Homo_sapiens/Gene/Summary?g=ENSG00000138642", "ENSG00000138642")</f>
        <v>ENSG00000138642</v>
      </c>
      <c r="M1333" s="12" t="s">
        <v>14638</v>
      </c>
      <c r="N1333" s="12" t="s">
        <v>14639</v>
      </c>
    </row>
    <row r="1334" spans="1:14">
      <c r="A1334" s="12" t="s">
        <v>8801</v>
      </c>
      <c r="B1334" s="8">
        <v>163.839270215265</v>
      </c>
      <c r="C1334" s="12">
        <v>75.851048513789706</v>
      </c>
      <c r="D1334" s="8">
        <v>1.1110401657411899</v>
      </c>
      <c r="E1334" s="12">
        <v>3.8609220070369801E-3</v>
      </c>
      <c r="F1334" s="8" t="s">
        <v>8802</v>
      </c>
      <c r="G1334" s="12" t="s">
        <v>8803</v>
      </c>
      <c r="H1334" s="12">
        <v>1</v>
      </c>
      <c r="I1334" s="13" t="str">
        <f>HYPERLINK("http://www.ncbi.nlm.nih.gov/gene/23243", "23243")</f>
        <v>23243</v>
      </c>
      <c r="J1334" s="12" t="s">
        <v>14890</v>
      </c>
      <c r="K1334" s="12" t="s">
        <v>14891</v>
      </c>
      <c r="L1334" s="13" t="str">
        <f>HYPERLINK("http://asia.ensembl.org/Homo_sapiens/Gene/Summary?g=ENSG00000206560", "ENSG00000206560")</f>
        <v>ENSG00000206560</v>
      </c>
      <c r="M1334" s="12" t="s">
        <v>14892</v>
      </c>
      <c r="N1334" s="12" t="s">
        <v>14893</v>
      </c>
    </row>
    <row r="1335" spans="1:14">
      <c r="A1335" s="12" t="s">
        <v>8976</v>
      </c>
      <c r="B1335" s="8">
        <v>748.19988990494403</v>
      </c>
      <c r="C1335" s="12">
        <v>346.62196752633702</v>
      </c>
      <c r="D1335" s="8">
        <v>1.1100606639125601</v>
      </c>
      <c r="E1335" s="12">
        <v>2.9352366248188498E-3</v>
      </c>
      <c r="F1335" s="8" t="s">
        <v>4743</v>
      </c>
      <c r="G1335" s="12" t="s">
        <v>4744</v>
      </c>
      <c r="H1335" s="12">
        <v>1</v>
      </c>
      <c r="I1335" s="13" t="str">
        <f>HYPERLINK("http://www.ncbi.nlm.nih.gov/gene/338699", "338699")</f>
        <v>338699</v>
      </c>
      <c r="J1335" s="13" t="str">
        <f>HYPERLINK("http://www.ncbi.nlm.nih.gov/nuccore/NM_182603", "NM_182603")</f>
        <v>NM_182603</v>
      </c>
      <c r="K1335" s="12" t="s">
        <v>4745</v>
      </c>
      <c r="L1335" s="13" t="str">
        <f>HYPERLINK("http://asia.ensembl.org/Homo_sapiens/Gene/Summary?g=ENSG00000137494", "ENSG00000137494")</f>
        <v>ENSG00000137494</v>
      </c>
      <c r="M1335" s="12" t="s">
        <v>14956</v>
      </c>
      <c r="N1335" s="12" t="s">
        <v>14957</v>
      </c>
    </row>
    <row r="1336" spans="1:14">
      <c r="A1336" s="12" t="s">
        <v>10675</v>
      </c>
      <c r="B1336" s="8">
        <v>1153.02677679525</v>
      </c>
      <c r="C1336" s="12">
        <v>534.45677012036799</v>
      </c>
      <c r="D1336" s="8">
        <v>1.1092808526925599</v>
      </c>
      <c r="E1336" s="12">
        <v>1.92232711223666E-3</v>
      </c>
      <c r="F1336" s="8" t="s">
        <v>4731</v>
      </c>
      <c r="G1336" s="12" t="s">
        <v>4732</v>
      </c>
      <c r="H1336" s="12">
        <v>1</v>
      </c>
      <c r="I1336" s="13" t="str">
        <f>HYPERLINK("http://www.ncbi.nlm.nih.gov/gene/7163", "7163")</f>
        <v>7163</v>
      </c>
      <c r="J1336" s="12" t="s">
        <v>15692</v>
      </c>
      <c r="K1336" s="12" t="s">
        <v>15693</v>
      </c>
      <c r="L1336" s="13" t="str">
        <f>HYPERLINK("http://asia.ensembl.org/Homo_sapiens/Gene/Summary?g=ENSG00000076554", "ENSG00000076554")</f>
        <v>ENSG00000076554</v>
      </c>
      <c r="M1336" s="12" t="s">
        <v>15694</v>
      </c>
      <c r="N1336" s="12" t="s">
        <v>15695</v>
      </c>
    </row>
    <row r="1337" spans="1:14">
      <c r="A1337" s="12" t="s">
        <v>1128</v>
      </c>
      <c r="B1337" s="8">
        <v>10275.7684254461</v>
      </c>
      <c r="C1337" s="12">
        <v>4764.63604059104</v>
      </c>
      <c r="D1337" s="8">
        <v>1.1088083638100601</v>
      </c>
      <c r="E1337" s="12">
        <v>8.7301181548606003E-3</v>
      </c>
      <c r="F1337" s="8" t="s">
        <v>1129</v>
      </c>
      <c r="G1337" s="12" t="s">
        <v>1130</v>
      </c>
      <c r="H1337" s="12">
        <v>1</v>
      </c>
      <c r="I1337" s="13" t="str">
        <f>HYPERLINK("http://www.ncbi.nlm.nih.gov/gene/10808", "10808")</f>
        <v>10808</v>
      </c>
      <c r="J1337" s="13" t="str">
        <f>HYPERLINK("http://www.ncbi.nlm.nih.gov/nuccore/NM_006644", "NM_006644")</f>
        <v>NM_006644</v>
      </c>
      <c r="K1337" s="12" t="s">
        <v>1131</v>
      </c>
      <c r="L1337" s="13" t="str">
        <f>HYPERLINK("http://asia.ensembl.org/Homo_sapiens/Gene/Summary?g=ENSG00000120694", "ENSG00000120694")</f>
        <v>ENSG00000120694</v>
      </c>
      <c r="M1337" s="12" t="s">
        <v>12242</v>
      </c>
      <c r="N1337" s="12" t="s">
        <v>12243</v>
      </c>
    </row>
    <row r="1338" spans="1:14">
      <c r="A1338" s="12" t="s">
        <v>8492</v>
      </c>
      <c r="B1338" s="8">
        <v>293.82969995662899</v>
      </c>
      <c r="C1338" s="12">
        <v>136.248468584996</v>
      </c>
      <c r="D1338" s="8">
        <v>1.1087402148868899</v>
      </c>
      <c r="E1338" s="12">
        <v>4.4923561872083498E-3</v>
      </c>
      <c r="F1338" s="8" t="s">
        <v>8493</v>
      </c>
      <c r="G1338" s="12" t="s">
        <v>14763</v>
      </c>
      <c r="H1338" s="12">
        <v>1</v>
      </c>
      <c r="I1338" s="13" t="str">
        <f>HYPERLINK("http://www.ncbi.nlm.nih.gov/gene/84083", "84083")</f>
        <v>84083</v>
      </c>
      <c r="J1338" s="13" t="str">
        <f>HYPERLINK("http://www.ncbi.nlm.nih.gov/nuccore/NM_032143", "NM_032143")</f>
        <v>NM_032143</v>
      </c>
      <c r="K1338" s="12" t="s">
        <v>8494</v>
      </c>
      <c r="L1338" s="13" t="str">
        <f>HYPERLINK("http://asia.ensembl.org/Homo_sapiens/Gene/Summary?g=ENSG00000121988", "ENSG00000121988")</f>
        <v>ENSG00000121988</v>
      </c>
      <c r="M1338" s="12" t="s">
        <v>14764</v>
      </c>
      <c r="N1338" s="12" t="s">
        <v>14765</v>
      </c>
    </row>
    <row r="1339" spans="1:14">
      <c r="A1339" s="12" t="s">
        <v>1591</v>
      </c>
      <c r="B1339" s="8">
        <v>715.97818815943299</v>
      </c>
      <c r="C1339" s="12">
        <v>332.001572314513</v>
      </c>
      <c r="D1339" s="8">
        <v>1.10872556333412</v>
      </c>
      <c r="E1339" s="12">
        <v>1.10546282631722E-2</v>
      </c>
      <c r="F1339" s="8" t="s">
        <v>1592</v>
      </c>
      <c r="G1339" s="12" t="s">
        <v>1593</v>
      </c>
      <c r="H1339" s="12">
        <v>1</v>
      </c>
      <c r="I1339" s="13" t="str">
        <f>HYPERLINK("http://www.ncbi.nlm.nih.gov/gene/9104", "9104")</f>
        <v>9104</v>
      </c>
      <c r="J1339" s="12" t="s">
        <v>12373</v>
      </c>
      <c r="K1339" s="12" t="s">
        <v>12374</v>
      </c>
      <c r="L1339" s="13" t="str">
        <f>HYPERLINK("http://asia.ensembl.org/Homo_sapiens/Gene/Summary?g=ENSG00000130988", "ENSG00000130988")</f>
        <v>ENSG00000130988</v>
      </c>
      <c r="M1339" s="12" t="s">
        <v>12375</v>
      </c>
      <c r="N1339" s="12" t="s">
        <v>12376</v>
      </c>
    </row>
    <row r="1340" spans="1:14">
      <c r="A1340" s="12" t="s">
        <v>10685</v>
      </c>
      <c r="B1340" s="8">
        <v>298.75131694526999</v>
      </c>
      <c r="C1340" s="12">
        <v>138.53851919214301</v>
      </c>
      <c r="D1340" s="8">
        <v>1.10865791436876</v>
      </c>
      <c r="E1340" s="12">
        <v>9.2880269099775304E-3</v>
      </c>
      <c r="F1340" s="8" t="s">
        <v>2754</v>
      </c>
      <c r="G1340" s="12" t="s">
        <v>2755</v>
      </c>
      <c r="H1340" s="12">
        <v>1</v>
      </c>
      <c r="I1340" s="13" t="str">
        <f>HYPERLINK("http://www.ncbi.nlm.nih.gov/gene/29079", "29079")</f>
        <v>29079</v>
      </c>
      <c r="J1340" s="12" t="s">
        <v>15711</v>
      </c>
      <c r="K1340" s="12" t="s">
        <v>15712</v>
      </c>
      <c r="L1340" s="13" t="str">
        <f>HYPERLINK("http://asia.ensembl.org/Homo_sapiens/Gene/Summary?g=ENSG00000136146", "ENSG00000136146")</f>
        <v>ENSG00000136146</v>
      </c>
      <c r="M1340" s="12" t="s">
        <v>15713</v>
      </c>
      <c r="N1340" s="12" t="s">
        <v>15714</v>
      </c>
    </row>
    <row r="1341" spans="1:14">
      <c r="A1341" s="12" t="s">
        <v>5386</v>
      </c>
      <c r="B1341" s="8">
        <v>718.92805205965396</v>
      </c>
      <c r="C1341" s="12">
        <v>333.41654500331299</v>
      </c>
      <c r="D1341" s="8">
        <v>1.10852170133128</v>
      </c>
      <c r="E1341" s="12">
        <v>1.2773237370895699E-2</v>
      </c>
      <c r="F1341" s="8" t="s">
        <v>5387</v>
      </c>
      <c r="G1341" s="12" t="s">
        <v>5388</v>
      </c>
      <c r="H1341" s="12">
        <v>1</v>
      </c>
      <c r="I1341" s="13" t="str">
        <f>HYPERLINK("http://www.ncbi.nlm.nih.gov/gene/9910", "9910")</f>
        <v>9910</v>
      </c>
      <c r="J1341" s="12" t="s">
        <v>13713</v>
      </c>
      <c r="K1341" s="12" t="s">
        <v>13714</v>
      </c>
      <c r="L1341" s="13" t="str">
        <f>HYPERLINK("http://asia.ensembl.org/Homo_sapiens/Gene/Summary?g=ENSG00000152061", "ENSG00000152061")</f>
        <v>ENSG00000152061</v>
      </c>
      <c r="M1341" s="12" t="s">
        <v>13715</v>
      </c>
      <c r="N1341" s="12" t="s">
        <v>13716</v>
      </c>
    </row>
    <row r="1342" spans="1:14">
      <c r="A1342" s="12" t="s">
        <v>8792</v>
      </c>
      <c r="B1342" s="8">
        <v>1280.2939990886</v>
      </c>
      <c r="C1342" s="12">
        <v>593.79869308526497</v>
      </c>
      <c r="D1342" s="8">
        <v>1.1084293170088</v>
      </c>
      <c r="E1342" s="12">
        <v>1.60109625940263E-2</v>
      </c>
      <c r="F1342" s="8" t="s">
        <v>4494</v>
      </c>
      <c r="G1342" s="12" t="s">
        <v>4495</v>
      </c>
      <c r="H1342" s="12">
        <v>1</v>
      </c>
      <c r="I1342" s="13" t="str">
        <f>HYPERLINK("http://www.ncbi.nlm.nih.gov/gene/463", "463")</f>
        <v>463</v>
      </c>
      <c r="J1342" s="12" t="s">
        <v>14881</v>
      </c>
      <c r="K1342" s="12" t="s">
        <v>14882</v>
      </c>
      <c r="L1342" s="13" t="str">
        <f>HYPERLINK("http://asia.ensembl.org/Homo_sapiens/Gene/Summary?g=ENSG00000140836", "ENSG00000140836")</f>
        <v>ENSG00000140836</v>
      </c>
      <c r="M1342" s="12" t="s">
        <v>14883</v>
      </c>
      <c r="N1342" s="12" t="s">
        <v>14884</v>
      </c>
    </row>
    <row r="1343" spans="1:14">
      <c r="A1343" s="12" t="s">
        <v>10652</v>
      </c>
      <c r="B1343" s="8">
        <v>2947.5816495618901</v>
      </c>
      <c r="C1343" s="12">
        <v>1368.7168181155801</v>
      </c>
      <c r="D1343" s="8">
        <v>1.1067077873751101</v>
      </c>
      <c r="E1343" s="12">
        <v>7.1126465229670701E-3</v>
      </c>
      <c r="F1343" s="8" t="s">
        <v>2291</v>
      </c>
      <c r="G1343" s="12" t="s">
        <v>12594</v>
      </c>
      <c r="H1343" s="12">
        <v>1</v>
      </c>
      <c r="I1343" s="13" t="str">
        <f>HYPERLINK("http://www.ncbi.nlm.nih.gov/gene/1456", "1456")</f>
        <v>1456</v>
      </c>
      <c r="J1343" s="12" t="s">
        <v>12595</v>
      </c>
      <c r="K1343" s="12" t="s">
        <v>12596</v>
      </c>
      <c r="L1343" s="13" t="str">
        <f>HYPERLINK("http://asia.ensembl.org/Homo_sapiens/Gene/Summary?g=ENSG00000151292", "ENSG00000151292")</f>
        <v>ENSG00000151292</v>
      </c>
      <c r="M1343" s="12" t="s">
        <v>12597</v>
      </c>
      <c r="N1343" s="12" t="s">
        <v>12598</v>
      </c>
    </row>
    <row r="1344" spans="1:14">
      <c r="A1344" s="12" t="s">
        <v>692</v>
      </c>
      <c r="B1344" s="8">
        <v>485.56798364746101</v>
      </c>
      <c r="C1344" s="12">
        <v>225.52725462720099</v>
      </c>
      <c r="D1344" s="8">
        <v>1.10637150783444</v>
      </c>
      <c r="E1344" s="12">
        <v>5.2714218863082604E-3</v>
      </c>
      <c r="F1344" s="8" t="s">
        <v>693</v>
      </c>
      <c r="G1344" s="12" t="s">
        <v>694</v>
      </c>
      <c r="H1344" s="12">
        <v>1</v>
      </c>
      <c r="I1344" s="13" t="str">
        <f>HYPERLINK("http://www.ncbi.nlm.nih.gov/gene/23300", "23300")</f>
        <v>23300</v>
      </c>
      <c r="J1344" s="13" t="str">
        <f>HYPERLINK("http://www.ncbi.nlm.nih.gov/nuccore/NM_015251", "NM_015251")</f>
        <v>NM_015251</v>
      </c>
      <c r="K1344" s="12" t="s">
        <v>695</v>
      </c>
      <c r="L1344" s="13" t="str">
        <f>HYPERLINK("http://asia.ensembl.org/Homo_sapiens/Gene/Summary?g=ENSG00000166454", "ENSG00000166454")</f>
        <v>ENSG00000166454</v>
      </c>
      <c r="M1344" s="12" t="s">
        <v>12072</v>
      </c>
      <c r="N1344" s="12" t="s">
        <v>12073</v>
      </c>
    </row>
    <row r="1345" spans="1:14">
      <c r="A1345" s="12" t="s">
        <v>6286</v>
      </c>
      <c r="B1345" s="8">
        <v>582.77864477198398</v>
      </c>
      <c r="C1345" s="12">
        <v>270.69825786208099</v>
      </c>
      <c r="D1345" s="8">
        <v>1.1062624097299001</v>
      </c>
      <c r="E1345" s="12">
        <v>1.31443560775144E-3</v>
      </c>
      <c r="F1345" s="8" t="s">
        <v>6287</v>
      </c>
      <c r="G1345" s="12" t="s">
        <v>6288</v>
      </c>
      <c r="H1345" s="12">
        <v>1</v>
      </c>
      <c r="I1345" s="13" t="str">
        <f>HYPERLINK("http://www.ncbi.nlm.nih.gov/gene/84527", "84527")</f>
        <v>84527</v>
      </c>
      <c r="J1345" s="12" t="s">
        <v>14126</v>
      </c>
      <c r="K1345" s="12" t="s">
        <v>14127</v>
      </c>
      <c r="L1345" s="13" t="str">
        <f>HYPERLINK("http://asia.ensembl.org/Homo_sapiens/Gene/Summary?g=ENSG00000188321", "ENSG00000188321")</f>
        <v>ENSG00000188321</v>
      </c>
      <c r="M1345" s="12" t="s">
        <v>14128</v>
      </c>
      <c r="N1345" s="12" t="s">
        <v>14129</v>
      </c>
    </row>
    <row r="1346" spans="1:14">
      <c r="A1346" s="12" t="s">
        <v>10798</v>
      </c>
      <c r="B1346" s="8">
        <v>2406.33692192232</v>
      </c>
      <c r="C1346" s="12">
        <v>1117.85950445254</v>
      </c>
      <c r="D1346" s="8">
        <v>1.1060997769629399</v>
      </c>
      <c r="E1346" s="12">
        <v>5.76409266227696E-3</v>
      </c>
      <c r="F1346" s="8" t="s">
        <v>1381</v>
      </c>
      <c r="G1346" s="12" t="s">
        <v>15899</v>
      </c>
      <c r="H1346" s="12">
        <v>1</v>
      </c>
      <c r="I1346" s="13" t="str">
        <f>HYPERLINK("http://www.ncbi.nlm.nih.gov/gene/11052", "11052")</f>
        <v>11052</v>
      </c>
      <c r="J1346" s="13" t="str">
        <f>HYPERLINK("http://www.ncbi.nlm.nih.gov/nuccore/NM_007007", "NM_007007")</f>
        <v>NM_007007</v>
      </c>
      <c r="K1346" s="12" t="s">
        <v>1382</v>
      </c>
      <c r="L1346" s="13" t="str">
        <f>HYPERLINK("http://asia.ensembl.org/Homo_sapiens/Gene/Summary?g=ENSG00000111605", "ENSG00000111605")</f>
        <v>ENSG00000111605</v>
      </c>
      <c r="M1346" s="12" t="s">
        <v>15900</v>
      </c>
      <c r="N1346" s="12" t="s">
        <v>15901</v>
      </c>
    </row>
    <row r="1347" spans="1:14">
      <c r="A1347" s="12" t="s">
        <v>100</v>
      </c>
      <c r="B1347" s="8">
        <v>2207.8761031918302</v>
      </c>
      <c r="C1347" s="12">
        <v>1025.8161102168999</v>
      </c>
      <c r="D1347" s="8">
        <v>1.10588708253776</v>
      </c>
      <c r="E1347" s="12">
        <v>7.0139498796580402E-3</v>
      </c>
      <c r="F1347" s="8" t="s">
        <v>101</v>
      </c>
      <c r="G1347" s="12" t="s">
        <v>102</v>
      </c>
      <c r="H1347" s="12">
        <v>1</v>
      </c>
      <c r="I1347" s="13" t="str">
        <f>HYPERLINK("http://www.ncbi.nlm.nih.gov/gene/23398", "23398")</f>
        <v>23398</v>
      </c>
      <c r="J1347" s="13" t="str">
        <f>HYPERLINK("http://www.ncbi.nlm.nih.gov/nuccore/NM_015342", "NM_015342")</f>
        <v>NM_015342</v>
      </c>
      <c r="K1347" s="12" t="s">
        <v>103</v>
      </c>
      <c r="L1347" s="13" t="str">
        <f>HYPERLINK("http://asia.ensembl.org/Homo_sapiens/Gene/Summary?g=ENSG00000113593", "ENSG00000113593")</f>
        <v>ENSG00000113593</v>
      </c>
      <c r="M1347" s="12" t="s">
        <v>11864</v>
      </c>
      <c r="N1347" s="12" t="s">
        <v>11865</v>
      </c>
    </row>
    <row r="1348" spans="1:14">
      <c r="A1348" s="12" t="s">
        <v>5883</v>
      </c>
      <c r="B1348" s="8">
        <v>273.96350581294701</v>
      </c>
      <c r="C1348" s="12">
        <v>127.294382382039</v>
      </c>
      <c r="D1348" s="8">
        <v>1.10581497397929</v>
      </c>
      <c r="E1348" s="12">
        <v>2.5345837583053898E-3</v>
      </c>
      <c r="F1348" s="8" t="s">
        <v>5884</v>
      </c>
      <c r="G1348" s="12" t="s">
        <v>5885</v>
      </c>
      <c r="H1348" s="12">
        <v>1</v>
      </c>
      <c r="I1348" s="13" t="str">
        <f>HYPERLINK("http://www.ncbi.nlm.nih.gov/gene/55435", "55435")</f>
        <v>55435</v>
      </c>
      <c r="J1348" s="12" t="s">
        <v>13952</v>
      </c>
      <c r="K1348" s="12" t="s">
        <v>13953</v>
      </c>
      <c r="L1348" s="13" t="str">
        <f>HYPERLINK("http://asia.ensembl.org/Homo_sapiens/Gene/Summary?g=ENSG00000138660", "ENSG00000138660")</f>
        <v>ENSG00000138660</v>
      </c>
      <c r="M1348" s="12" t="s">
        <v>13954</v>
      </c>
      <c r="N1348" s="12" t="s">
        <v>13955</v>
      </c>
    </row>
    <row r="1349" spans="1:14">
      <c r="A1349" s="12" t="s">
        <v>6226</v>
      </c>
      <c r="B1349" s="8">
        <v>1080.7346486526999</v>
      </c>
      <c r="C1349" s="12">
        <v>502.16941405307603</v>
      </c>
      <c r="D1349" s="8">
        <v>1.10576627828047</v>
      </c>
      <c r="E1349" s="12">
        <v>1.03604954467855E-2</v>
      </c>
      <c r="F1349" s="8" t="s">
        <v>6227</v>
      </c>
      <c r="G1349" s="12" t="s">
        <v>6228</v>
      </c>
      <c r="H1349" s="12">
        <v>1</v>
      </c>
      <c r="I1349" s="13" t="str">
        <f>HYPERLINK("http://www.ncbi.nlm.nih.gov/gene/1398", "1398")</f>
        <v>1398</v>
      </c>
      <c r="J1349" s="12" t="s">
        <v>14098</v>
      </c>
      <c r="K1349" s="12" t="s">
        <v>14099</v>
      </c>
      <c r="L1349" s="13" t="str">
        <f>HYPERLINK("http://asia.ensembl.org/Homo_sapiens/Gene/Summary?g=ENSG00000167193", "ENSG00000167193")</f>
        <v>ENSG00000167193</v>
      </c>
      <c r="M1349" s="12" t="s">
        <v>14100</v>
      </c>
      <c r="N1349" s="12" t="s">
        <v>14101</v>
      </c>
    </row>
    <row r="1350" spans="1:14">
      <c r="A1350" s="12" t="s">
        <v>10859</v>
      </c>
      <c r="B1350" s="8">
        <v>988.49008334359996</v>
      </c>
      <c r="C1350" s="12">
        <v>459.57552718427002</v>
      </c>
      <c r="D1350" s="8">
        <v>1.10492451752613</v>
      </c>
      <c r="E1350" s="12">
        <v>1.37687576739415E-3</v>
      </c>
      <c r="F1350" s="8" t="s">
        <v>5261</v>
      </c>
      <c r="G1350" s="12" t="s">
        <v>5262</v>
      </c>
      <c r="H1350" s="12">
        <v>1</v>
      </c>
      <c r="I1350" s="13" t="str">
        <f>HYPERLINK("http://www.ncbi.nlm.nih.gov/gene/6815", "6815")</f>
        <v>6815</v>
      </c>
      <c r="J1350" s="12" t="s">
        <v>15352</v>
      </c>
      <c r="K1350" s="12" t="s">
        <v>15353</v>
      </c>
      <c r="L1350" s="13" t="str">
        <f>HYPERLINK("http://asia.ensembl.org/Homo_sapiens/Gene/Summary?g=ENSG00000198252", "ENSG00000198252")</f>
        <v>ENSG00000198252</v>
      </c>
      <c r="M1350" s="12" t="s">
        <v>15354</v>
      </c>
      <c r="N1350" s="12" t="s">
        <v>15355</v>
      </c>
    </row>
    <row r="1351" spans="1:14">
      <c r="A1351" s="12" t="s">
        <v>10643</v>
      </c>
      <c r="B1351" s="8">
        <v>3104.6352497283901</v>
      </c>
      <c r="C1351" s="12">
        <v>1443.7435685599801</v>
      </c>
      <c r="D1351" s="8">
        <v>1.1046092625789301</v>
      </c>
      <c r="E1351" s="12">
        <v>1.27853437912566E-2</v>
      </c>
      <c r="F1351" s="8" t="s">
        <v>10644</v>
      </c>
      <c r="G1351" s="12" t="s">
        <v>595</v>
      </c>
      <c r="H1351" s="12">
        <v>1</v>
      </c>
      <c r="I1351" s="13" t="str">
        <f>HYPERLINK("http://www.ncbi.nlm.nih.gov/gene/9590", "9590")</f>
        <v>9590</v>
      </c>
      <c r="J1351" s="12" t="s">
        <v>15660</v>
      </c>
      <c r="K1351" s="12" t="s">
        <v>15661</v>
      </c>
      <c r="L1351" s="13" t="str">
        <f>HYPERLINK("http://asia.ensembl.org/Homo_sapiens/Gene/Summary?g=ENSG00000131016", "ENSG00000131016")</f>
        <v>ENSG00000131016</v>
      </c>
      <c r="M1351" s="12" t="s">
        <v>15662</v>
      </c>
      <c r="N1351" s="12" t="s">
        <v>15663</v>
      </c>
    </row>
    <row r="1352" spans="1:14">
      <c r="A1352" s="12" t="s">
        <v>9327</v>
      </c>
      <c r="B1352" s="8">
        <v>131.898613881345</v>
      </c>
      <c r="C1352" s="12">
        <v>61.340117226793197</v>
      </c>
      <c r="D1352" s="8">
        <v>1.10452657458183</v>
      </c>
      <c r="E1352" s="12">
        <v>3.3569688258441803E-2</v>
      </c>
      <c r="F1352" s="8" t="s">
        <v>9328</v>
      </c>
      <c r="G1352" s="12" t="s">
        <v>9329</v>
      </c>
      <c r="H1352" s="12">
        <v>1</v>
      </c>
      <c r="I1352" s="13" t="str">
        <f>HYPERLINK("http://www.ncbi.nlm.nih.gov/gene/768239", "768239")</f>
        <v>768239</v>
      </c>
      <c r="J1352" s="13" t="str">
        <f>HYPERLINK("http://www.ncbi.nlm.nih.gov/nuccore/NM_001085382", "NM_001085382")</f>
        <v>NM_001085382</v>
      </c>
      <c r="K1352" s="12" t="s">
        <v>9330</v>
      </c>
      <c r="L1352" s="13" t="str">
        <f>HYPERLINK("http://asia.ensembl.org/Homo_sapiens/Gene/Summary?g=ENSG00000178597", "ENSG00000178597")</f>
        <v>ENSG00000178597</v>
      </c>
      <c r="M1352" s="12" t="s">
        <v>9331</v>
      </c>
      <c r="N1352" s="12" t="s">
        <v>9332</v>
      </c>
    </row>
    <row r="1353" spans="1:14">
      <c r="A1353" s="12" t="s">
        <v>9463</v>
      </c>
      <c r="B1353" s="8">
        <v>1885.1035013998701</v>
      </c>
      <c r="C1353" s="12">
        <v>876.72356319582104</v>
      </c>
      <c r="D1353" s="8">
        <v>1.1044498085950401</v>
      </c>
      <c r="E1353" s="12">
        <v>1.24775142616578E-2</v>
      </c>
      <c r="F1353" s="8" t="s">
        <v>9464</v>
      </c>
      <c r="G1353" s="12" t="s">
        <v>15032</v>
      </c>
      <c r="H1353" s="12">
        <v>1</v>
      </c>
      <c r="I1353" s="13" t="str">
        <f>HYPERLINK("http://www.ncbi.nlm.nih.gov/gene/254887", "254887")</f>
        <v>254887</v>
      </c>
      <c r="J1353" s="13" t="str">
        <f>HYPERLINK("http://www.ncbi.nlm.nih.gov/nuccore/NM_173570", "NM_173570")</f>
        <v>NM_173570</v>
      </c>
      <c r="K1353" s="12" t="s">
        <v>9465</v>
      </c>
      <c r="L1353" s="13" t="str">
        <f>HYPERLINK("http://asia.ensembl.org/Homo_sapiens/Gene/Summary?g=ENSG00000184307", "ENSG00000184307")</f>
        <v>ENSG00000184307</v>
      </c>
      <c r="M1353" s="12" t="s">
        <v>15033</v>
      </c>
      <c r="N1353" s="12" t="s">
        <v>15034</v>
      </c>
    </row>
    <row r="1354" spans="1:14">
      <c r="A1354" s="12" t="s">
        <v>2592</v>
      </c>
      <c r="B1354" s="8">
        <v>354.884936473491</v>
      </c>
      <c r="C1354" s="12">
        <v>165.148876232883</v>
      </c>
      <c r="D1354" s="8">
        <v>1.1035841860003199</v>
      </c>
      <c r="E1354" s="12">
        <v>7.0871197327135498E-3</v>
      </c>
      <c r="F1354" s="8" t="s">
        <v>2593</v>
      </c>
      <c r="G1354" s="12" t="s">
        <v>12710</v>
      </c>
      <c r="H1354" s="12">
        <v>1</v>
      </c>
      <c r="I1354" s="13" t="str">
        <f>HYPERLINK("http://www.ncbi.nlm.nih.gov/gene/1287", "1287")</f>
        <v>1287</v>
      </c>
      <c r="J1354" s="12" t="s">
        <v>12711</v>
      </c>
      <c r="K1354" s="12" t="s">
        <v>12712</v>
      </c>
      <c r="L1354" s="13" t="str">
        <f>HYPERLINK("http://asia.ensembl.org/Homo_sapiens/Gene/Summary?g=ENSG00000188153", "ENSG00000188153")</f>
        <v>ENSG00000188153</v>
      </c>
      <c r="M1354" s="12" t="s">
        <v>12713</v>
      </c>
      <c r="N1354" s="12" t="s">
        <v>12714</v>
      </c>
    </row>
    <row r="1355" spans="1:14">
      <c r="A1355" s="12" t="s">
        <v>11243</v>
      </c>
      <c r="B1355" s="8">
        <v>870.56752677259203</v>
      </c>
      <c r="C1355" s="12">
        <v>405.190765008168</v>
      </c>
      <c r="D1355" s="8">
        <v>1.1033549138283301</v>
      </c>
      <c r="E1355" s="12">
        <v>4.7170401532180299E-3</v>
      </c>
      <c r="F1355" s="8" t="s">
        <v>1507</v>
      </c>
      <c r="G1355" s="12" t="s">
        <v>16052</v>
      </c>
      <c r="H1355" s="12">
        <v>1</v>
      </c>
      <c r="I1355" s="13" t="str">
        <f>HYPERLINK("http://www.ncbi.nlm.nih.gov/gene/8766", "8766")</f>
        <v>8766</v>
      </c>
      <c r="J1355" s="12" t="s">
        <v>16053</v>
      </c>
      <c r="K1355" s="12" t="s">
        <v>16054</v>
      </c>
      <c r="L1355" s="13" t="str">
        <f>HYPERLINK("http://asia.ensembl.org/Homo_sapiens/Gene/Summary?g=ENSG00000103769", "ENSG00000103769")</f>
        <v>ENSG00000103769</v>
      </c>
      <c r="M1355" s="12" t="s">
        <v>16055</v>
      </c>
      <c r="N1355" s="12" t="s">
        <v>16056</v>
      </c>
    </row>
    <row r="1356" spans="1:14">
      <c r="A1356" s="12" t="s">
        <v>9048</v>
      </c>
      <c r="B1356" s="8">
        <v>140.78353005314401</v>
      </c>
      <c r="C1356" s="12">
        <v>65.526672993424</v>
      </c>
      <c r="D1356" s="8">
        <v>1.10332437792936</v>
      </c>
      <c r="E1356" s="12">
        <v>9.8774069624332599E-3</v>
      </c>
      <c r="F1356" s="8" t="s">
        <v>9049</v>
      </c>
      <c r="G1356" s="12" t="s">
        <v>14979</v>
      </c>
      <c r="H1356" s="12">
        <v>1</v>
      </c>
      <c r="I1356" s="13" t="str">
        <f>HYPERLINK("http://www.ncbi.nlm.nih.gov/gene/220", "220")</f>
        <v>220</v>
      </c>
      <c r="J1356" s="13" t="str">
        <f>HYPERLINK("http://www.ncbi.nlm.nih.gov/nuccore/NM_000693", "NM_000693")</f>
        <v>NM_000693</v>
      </c>
      <c r="K1356" s="12" t="s">
        <v>9050</v>
      </c>
      <c r="L1356" s="13" t="str">
        <f>HYPERLINK("http://asia.ensembl.org/Homo_sapiens/Gene/Summary?g=ENSG00000184254", "ENSG00000184254")</f>
        <v>ENSG00000184254</v>
      </c>
      <c r="M1356" s="12" t="s">
        <v>14980</v>
      </c>
      <c r="N1356" s="12" t="s">
        <v>14981</v>
      </c>
    </row>
    <row r="1357" spans="1:14">
      <c r="A1357" s="12" t="s">
        <v>8744</v>
      </c>
      <c r="B1357" s="8">
        <v>123.95234012252</v>
      </c>
      <c r="C1357" s="12">
        <v>57.693495425399597</v>
      </c>
      <c r="D1357" s="8">
        <v>1.1033049301639399</v>
      </c>
      <c r="E1357" s="12">
        <v>7.7668669071492002E-3</v>
      </c>
      <c r="F1357" s="8" t="s">
        <v>8745</v>
      </c>
      <c r="G1357" s="12" t="s">
        <v>8746</v>
      </c>
      <c r="H1357" s="12">
        <v>1</v>
      </c>
      <c r="I1357" s="13" t="str">
        <f>HYPERLINK("http://www.ncbi.nlm.nih.gov/gene/441151", "441151")</f>
        <v>441151</v>
      </c>
      <c r="J1357" s="13" t="str">
        <f>HYPERLINK("http://www.ncbi.nlm.nih.gov/nuccore/NM_001137560", "NM_001137560")</f>
        <v>NM_001137560</v>
      </c>
      <c r="K1357" s="12" t="s">
        <v>8747</v>
      </c>
      <c r="L1357" s="13" t="str">
        <f>HYPERLINK("http://asia.ensembl.org/Homo_sapiens/Gene/Summary?g=ENSG00000178233", "ENSG00000178233")</f>
        <v>ENSG00000178233</v>
      </c>
      <c r="M1357" s="12" t="s">
        <v>14845</v>
      </c>
      <c r="N1357" s="12" t="s">
        <v>14846</v>
      </c>
    </row>
    <row r="1358" spans="1:14">
      <c r="A1358" s="12" t="s">
        <v>2269</v>
      </c>
      <c r="B1358" s="8">
        <v>3282.6833959601099</v>
      </c>
      <c r="C1358" s="12">
        <v>1527.92281278003</v>
      </c>
      <c r="D1358" s="8">
        <v>1.1033039499089401</v>
      </c>
      <c r="E1358" s="12">
        <v>5.84023189361147E-3</v>
      </c>
      <c r="F1358" s="8" t="s">
        <v>2270</v>
      </c>
      <c r="G1358" s="12" t="s">
        <v>2271</v>
      </c>
      <c r="H1358" s="12">
        <v>1</v>
      </c>
      <c r="I1358" s="13" t="str">
        <f>HYPERLINK("http://www.ncbi.nlm.nih.gov/gene/51605", "51605")</f>
        <v>51605</v>
      </c>
      <c r="J1358" s="13" t="str">
        <f>HYPERLINK("http://www.ncbi.nlm.nih.gov/nuccore/NM_015939", "NM_015939")</f>
        <v>NM_015939</v>
      </c>
      <c r="K1358" s="12" t="s">
        <v>2272</v>
      </c>
      <c r="L1358" s="13" t="str">
        <f>HYPERLINK("http://asia.ensembl.org/Homo_sapiens/Gene/Summary?g=ENSG00000089195", "ENSG00000089195")</f>
        <v>ENSG00000089195</v>
      </c>
      <c r="M1358" s="12" t="s">
        <v>12591</v>
      </c>
      <c r="N1358" s="12" t="s">
        <v>12592</v>
      </c>
    </row>
    <row r="1359" spans="1:14">
      <c r="A1359" s="12" t="s">
        <v>10783</v>
      </c>
      <c r="B1359" s="8">
        <v>586.90409446557601</v>
      </c>
      <c r="C1359" s="12">
        <v>273.17542488850103</v>
      </c>
      <c r="D1359" s="8">
        <v>1.1032970696402999</v>
      </c>
      <c r="E1359" s="12">
        <v>4.0645383796943501E-3</v>
      </c>
      <c r="F1359" s="8" t="s">
        <v>837</v>
      </c>
      <c r="G1359" s="12" t="s">
        <v>838</v>
      </c>
      <c r="H1359" s="12">
        <v>1</v>
      </c>
      <c r="I1359" s="13" t="str">
        <f>HYPERLINK("http://www.ncbi.nlm.nih.gov/gene/55276", "55276")</f>
        <v>55276</v>
      </c>
      <c r="J1359" s="13" t="str">
        <f>HYPERLINK("http://www.ncbi.nlm.nih.gov/nuccore/NM_018290", "NM_018290")</f>
        <v>NM_018290</v>
      </c>
      <c r="K1359" s="12" t="s">
        <v>839</v>
      </c>
      <c r="L1359" s="13" t="str">
        <f>HYPERLINK("http://asia.ensembl.org/Homo_sapiens/Gene/Summary?g=ENSG00000169299", "ENSG00000169299")</f>
        <v>ENSG00000169299</v>
      </c>
      <c r="M1359" s="12" t="s">
        <v>15874</v>
      </c>
      <c r="N1359" s="12" t="s">
        <v>15875</v>
      </c>
    </row>
    <row r="1360" spans="1:14">
      <c r="A1360" s="12" t="s">
        <v>6017</v>
      </c>
      <c r="B1360" s="8">
        <v>625.79324288207999</v>
      </c>
      <c r="C1360" s="12">
        <v>291.30944915953398</v>
      </c>
      <c r="D1360" s="8">
        <v>1.1031335821841499</v>
      </c>
      <c r="E1360" s="12">
        <v>7.9600584163849897E-3</v>
      </c>
      <c r="F1360" s="8" t="s">
        <v>6018</v>
      </c>
      <c r="G1360" s="12" t="s">
        <v>6019</v>
      </c>
      <c r="H1360" s="12">
        <v>1</v>
      </c>
      <c r="I1360" s="13" t="str">
        <f>HYPERLINK("http://www.ncbi.nlm.nih.gov/gene/831", "831")</f>
        <v>831</v>
      </c>
      <c r="J1360" s="12" t="s">
        <v>14010</v>
      </c>
      <c r="K1360" s="12" t="s">
        <v>14011</v>
      </c>
      <c r="L1360" s="13" t="str">
        <f>HYPERLINK("http://asia.ensembl.org/Homo_sapiens/Gene/Summary?g=ENSG00000153113", "ENSG00000153113")</f>
        <v>ENSG00000153113</v>
      </c>
      <c r="M1360" s="12" t="s">
        <v>14012</v>
      </c>
      <c r="N1360" s="12" t="s">
        <v>14013</v>
      </c>
    </row>
    <row r="1361" spans="1:14">
      <c r="A1361" s="12" t="s">
        <v>587</v>
      </c>
      <c r="B1361" s="8">
        <v>7410.5162216741601</v>
      </c>
      <c r="C1361" s="12">
        <v>3450.1086435124398</v>
      </c>
      <c r="D1361" s="8">
        <v>1.1029322522618401</v>
      </c>
      <c r="E1361" s="12">
        <v>1.7555806652580299E-2</v>
      </c>
      <c r="F1361" s="8" t="s">
        <v>588</v>
      </c>
      <c r="G1361" s="12" t="s">
        <v>589</v>
      </c>
      <c r="H1361" s="12">
        <v>1</v>
      </c>
      <c r="I1361" s="13" t="str">
        <f>HYPERLINK("http://www.ncbi.nlm.nih.gov/gene/2009", "2009")</f>
        <v>2009</v>
      </c>
      <c r="J1361" s="12" t="s">
        <v>12035</v>
      </c>
      <c r="K1361" s="12" t="s">
        <v>12036</v>
      </c>
      <c r="L1361" s="13" t="str">
        <f>HYPERLINK("http://asia.ensembl.org/Homo_sapiens/Gene/Summary?g=ENSG00000066629", "ENSG00000066629")</f>
        <v>ENSG00000066629</v>
      </c>
      <c r="M1361" s="12" t="s">
        <v>12037</v>
      </c>
      <c r="N1361" s="12" t="s">
        <v>12038</v>
      </c>
    </row>
    <row r="1362" spans="1:14">
      <c r="A1362" s="12" t="s">
        <v>10595</v>
      </c>
      <c r="B1362" s="8">
        <v>220.41260652950601</v>
      </c>
      <c r="C1362" s="12">
        <v>102.625995066925</v>
      </c>
      <c r="D1362" s="8">
        <v>1.10281053089504</v>
      </c>
      <c r="E1362" s="12">
        <v>4.8677500502711402E-3</v>
      </c>
      <c r="F1362" s="8" t="s">
        <v>1430</v>
      </c>
      <c r="G1362" s="12" t="s">
        <v>15605</v>
      </c>
      <c r="H1362" s="12">
        <v>1</v>
      </c>
      <c r="I1362" s="13" t="str">
        <f>HYPERLINK("http://www.ncbi.nlm.nih.gov/gene/1030", "1030")</f>
        <v>1030</v>
      </c>
      <c r="J1362" s="12" t="s">
        <v>15606</v>
      </c>
      <c r="K1362" s="12" t="s">
        <v>15607</v>
      </c>
      <c r="L1362" s="13" t="str">
        <f>HYPERLINK("http://asia.ensembl.org/Homo_sapiens/Gene/Summary?g=ENSG00000147883", "ENSG00000147883")</f>
        <v>ENSG00000147883</v>
      </c>
      <c r="M1362" s="12" t="s">
        <v>15608</v>
      </c>
      <c r="N1362" s="12" t="s">
        <v>15609</v>
      </c>
    </row>
    <row r="1363" spans="1:14">
      <c r="A1363" s="12" t="s">
        <v>4674</v>
      </c>
      <c r="B1363" s="8">
        <v>6683.3774765451599</v>
      </c>
      <c r="C1363" s="12">
        <v>3111.9237788375599</v>
      </c>
      <c r="D1363" s="8">
        <v>1.10277063532131</v>
      </c>
      <c r="E1363" s="12">
        <v>5.3765886639454696E-3</v>
      </c>
      <c r="F1363" s="8" t="s">
        <v>4675</v>
      </c>
      <c r="G1363" s="12" t="s">
        <v>4676</v>
      </c>
      <c r="H1363" s="12">
        <v>1</v>
      </c>
      <c r="I1363" s="13" t="str">
        <f>HYPERLINK("http://www.ncbi.nlm.nih.gov/gene/23484", "23484")</f>
        <v>23484</v>
      </c>
      <c r="J1363" s="13" t="str">
        <f>HYPERLINK("http://www.ncbi.nlm.nih.gov/nuccore/NM_015344", "NM_015344")</f>
        <v>NM_015344</v>
      </c>
      <c r="K1363" s="12" t="s">
        <v>4677</v>
      </c>
      <c r="L1363" s="13" t="str">
        <f>HYPERLINK("http://asia.ensembl.org/Homo_sapiens/Gene/Summary?g=ENSG00000104660", "ENSG00000104660")</f>
        <v>ENSG00000104660</v>
      </c>
      <c r="M1363" s="12" t="s">
        <v>13342</v>
      </c>
      <c r="N1363" s="12" t="s">
        <v>13343</v>
      </c>
    </row>
    <row r="1364" spans="1:14">
      <c r="A1364" s="12" t="s">
        <v>9908</v>
      </c>
      <c r="B1364" s="8">
        <v>262.66906013585299</v>
      </c>
      <c r="C1364" s="12">
        <v>122.313877452198</v>
      </c>
      <c r="D1364" s="8">
        <v>1.1026581769908901</v>
      </c>
      <c r="E1364" s="12">
        <v>1.94872562208686E-3</v>
      </c>
      <c r="F1364" s="8" t="s">
        <v>1332</v>
      </c>
      <c r="G1364" s="12" t="s">
        <v>1333</v>
      </c>
      <c r="H1364" s="12">
        <v>1</v>
      </c>
      <c r="I1364" s="13" t="str">
        <f>HYPERLINK("http://www.ncbi.nlm.nih.gov/gene/55212", "55212")</f>
        <v>55212</v>
      </c>
      <c r="J1364" s="13" t="str">
        <f>HYPERLINK("http://www.ncbi.nlm.nih.gov/nuccore/NM_018190", "NM_018190")</f>
        <v>NM_018190</v>
      </c>
      <c r="K1364" s="12" t="s">
        <v>9909</v>
      </c>
      <c r="L1364" s="13" t="str">
        <f>HYPERLINK("http://asia.ensembl.org/Homo_sapiens/Gene/Summary?g=ENSG00000138686", "ENSG00000138686")</f>
        <v>ENSG00000138686</v>
      </c>
      <c r="M1364" s="12" t="s">
        <v>12305</v>
      </c>
      <c r="N1364" s="12" t="s">
        <v>12306</v>
      </c>
    </row>
    <row r="1365" spans="1:14">
      <c r="A1365" s="12" t="s">
        <v>10773</v>
      </c>
      <c r="B1365" s="8">
        <v>5754.2996988632704</v>
      </c>
      <c r="C1365" s="12">
        <v>2681.2476938333002</v>
      </c>
      <c r="D1365" s="8">
        <v>1.1017358605992</v>
      </c>
      <c r="E1365" s="12">
        <v>1.1330862963291499E-2</v>
      </c>
      <c r="F1365" s="8" t="s">
        <v>10774</v>
      </c>
      <c r="G1365" s="12" t="s">
        <v>10775</v>
      </c>
      <c r="H1365" s="12">
        <v>1</v>
      </c>
      <c r="I1365" s="13" t="str">
        <f>HYPERLINK("http://www.ncbi.nlm.nih.gov/gene/8545", "8545")</f>
        <v>8545</v>
      </c>
      <c r="J1365" s="12" t="s">
        <v>15854</v>
      </c>
      <c r="K1365" s="12" t="s">
        <v>15855</v>
      </c>
      <c r="L1365" s="13" t="str">
        <f>HYPERLINK("http://asia.ensembl.org/Homo_sapiens/Gene/Summary?g=ENSG00000163320", "ENSG00000163320")</f>
        <v>ENSG00000163320</v>
      </c>
      <c r="M1365" s="12" t="s">
        <v>15856</v>
      </c>
      <c r="N1365" s="12" t="s">
        <v>15857</v>
      </c>
    </row>
    <row r="1366" spans="1:14">
      <c r="A1366" s="12" t="s">
        <v>5439</v>
      </c>
      <c r="B1366" s="8">
        <v>420.099441723506</v>
      </c>
      <c r="C1366" s="12">
        <v>195.76299844211999</v>
      </c>
      <c r="D1366" s="8">
        <v>1.1016227645875201</v>
      </c>
      <c r="E1366" s="12">
        <v>1.35280059934917E-2</v>
      </c>
      <c r="F1366" s="8" t="s">
        <v>5440</v>
      </c>
      <c r="G1366" s="12" t="s">
        <v>5441</v>
      </c>
      <c r="H1366" s="12">
        <v>1</v>
      </c>
      <c r="I1366" s="13" t="str">
        <f>HYPERLINK("http://www.ncbi.nlm.nih.gov/gene/90799", "90799")</f>
        <v>90799</v>
      </c>
      <c r="J1366" s="13" t="str">
        <f>HYPERLINK("http://www.ncbi.nlm.nih.gov/nuccore/NM_138363", "NM_138363")</f>
        <v>NM_138363</v>
      </c>
      <c r="K1366" s="12" t="s">
        <v>5442</v>
      </c>
      <c r="L1366" s="13" t="str">
        <f>HYPERLINK("http://asia.ensembl.org/Homo_sapiens/Gene/Summary?g=ENSG00000258890", "ENSG00000258890")</f>
        <v>ENSG00000258890</v>
      </c>
      <c r="M1366" s="12" t="s">
        <v>13755</v>
      </c>
      <c r="N1366" s="12" t="s">
        <v>13756</v>
      </c>
    </row>
    <row r="1367" spans="1:14">
      <c r="A1367" s="12" t="s">
        <v>3411</v>
      </c>
      <c r="B1367" s="8">
        <v>4422.7296913155196</v>
      </c>
      <c r="C1367" s="12">
        <v>2060.9716804261502</v>
      </c>
      <c r="D1367" s="8">
        <v>1.10161238909307</v>
      </c>
      <c r="E1367" s="12">
        <v>7.10311175702106E-3</v>
      </c>
      <c r="F1367" s="8" t="s">
        <v>3412</v>
      </c>
      <c r="G1367" s="12" t="s">
        <v>3413</v>
      </c>
      <c r="H1367" s="12">
        <v>1</v>
      </c>
      <c r="I1367" s="13" t="str">
        <f>HYPERLINK("http://www.ncbi.nlm.nih.gov/gene/60592", "60592")</f>
        <v>60592</v>
      </c>
      <c r="J1367" s="12" t="s">
        <v>12967</v>
      </c>
      <c r="K1367" s="12" t="s">
        <v>12968</v>
      </c>
      <c r="L1367" s="13" t="str">
        <f>HYPERLINK("http://asia.ensembl.org/Homo_sapiens/Gene/Summary?g=ENSG00000153130", "ENSG00000153130")</f>
        <v>ENSG00000153130</v>
      </c>
      <c r="M1367" s="12" t="s">
        <v>12969</v>
      </c>
      <c r="N1367" s="12" t="s">
        <v>12970</v>
      </c>
    </row>
    <row r="1368" spans="1:14">
      <c r="A1368" s="12" t="s">
        <v>1798</v>
      </c>
      <c r="B1368" s="8">
        <v>402.88228366913802</v>
      </c>
      <c r="C1368" s="12">
        <v>187.746970301913</v>
      </c>
      <c r="D1368" s="8">
        <v>1.10156873889853</v>
      </c>
      <c r="E1368" s="12">
        <v>3.2443045558186701E-3</v>
      </c>
      <c r="F1368" s="8" t="s">
        <v>1799</v>
      </c>
      <c r="G1368" s="12" t="s">
        <v>12428</v>
      </c>
      <c r="H1368" s="12">
        <v>1</v>
      </c>
      <c r="I1368" s="13" t="str">
        <f>HYPERLINK("http://www.ncbi.nlm.nih.gov/gene/286410", "286410")</f>
        <v>286410</v>
      </c>
      <c r="J1368" s="12" t="s">
        <v>12429</v>
      </c>
      <c r="K1368" s="12" t="s">
        <v>12430</v>
      </c>
      <c r="L1368" s="13" t="str">
        <f>HYPERLINK("http://asia.ensembl.org/Homo_sapiens/Gene/Summary?g=ENSG00000101974", "ENSG00000101974")</f>
        <v>ENSG00000101974</v>
      </c>
      <c r="M1368" s="12" t="s">
        <v>12431</v>
      </c>
      <c r="N1368" s="12" t="s">
        <v>12432</v>
      </c>
    </row>
    <row r="1369" spans="1:14">
      <c r="A1369" s="12" t="s">
        <v>3679</v>
      </c>
      <c r="B1369" s="8">
        <v>212.885055988744</v>
      </c>
      <c r="C1369" s="12">
        <v>99.215302569259407</v>
      </c>
      <c r="D1369" s="8">
        <v>1.10144012130693</v>
      </c>
      <c r="E1369" s="12">
        <v>5.5420200418775604E-3</v>
      </c>
      <c r="F1369" s="8" t="s">
        <v>3680</v>
      </c>
      <c r="G1369" s="12" t="s">
        <v>3681</v>
      </c>
      <c r="H1369" s="12">
        <v>1</v>
      </c>
      <c r="I1369" s="13" t="str">
        <f>HYPERLINK("http://www.ncbi.nlm.nih.gov/gene/55119", "55119")</f>
        <v>55119</v>
      </c>
      <c r="J1369" s="12" t="s">
        <v>13072</v>
      </c>
      <c r="K1369" s="12" t="s">
        <v>13073</v>
      </c>
      <c r="L1369" s="13" t="str">
        <f>HYPERLINK("http://asia.ensembl.org/Homo_sapiens/Gene/Summary?g=ENSG00000134186", "ENSG00000134186")</f>
        <v>ENSG00000134186</v>
      </c>
      <c r="M1369" s="12" t="s">
        <v>13074</v>
      </c>
      <c r="N1369" s="12" t="s">
        <v>13075</v>
      </c>
    </row>
    <row r="1370" spans="1:14">
      <c r="A1370" s="12" t="s">
        <v>8731</v>
      </c>
      <c r="B1370" s="8">
        <v>6497.8706208705898</v>
      </c>
      <c r="C1370" s="12">
        <v>3029.1120616257799</v>
      </c>
      <c r="D1370" s="8">
        <v>1.1010720670012899</v>
      </c>
      <c r="E1370" s="12">
        <v>1.31774094917292E-2</v>
      </c>
      <c r="F1370" s="8" t="s">
        <v>8508</v>
      </c>
      <c r="G1370" s="12" t="s">
        <v>8509</v>
      </c>
      <c r="H1370" s="12">
        <v>1</v>
      </c>
      <c r="I1370" s="13" t="str">
        <f>HYPERLINK("http://www.ncbi.nlm.nih.gov/gene/253827", "253827")</f>
        <v>253827</v>
      </c>
      <c r="J1370" s="12" t="s">
        <v>14766</v>
      </c>
      <c r="K1370" s="12" t="s">
        <v>14767</v>
      </c>
      <c r="L1370" s="13" t="str">
        <f>HYPERLINK("http://asia.ensembl.org/Homo_sapiens/Gene/Summary?g=ENSG00000174099", "ENSG00000174099")</f>
        <v>ENSG00000174099</v>
      </c>
      <c r="M1370" s="12" t="s">
        <v>14768</v>
      </c>
      <c r="N1370" s="12" t="s">
        <v>14769</v>
      </c>
    </row>
    <row r="1371" spans="1:14">
      <c r="A1371" s="12" t="s">
        <v>4581</v>
      </c>
      <c r="B1371" s="8">
        <v>688.98670723291002</v>
      </c>
      <c r="C1371" s="12">
        <v>321.21642306567799</v>
      </c>
      <c r="D1371" s="8">
        <v>1.10093049251625</v>
      </c>
      <c r="E1371" s="12">
        <v>8.8014811276487994E-3</v>
      </c>
      <c r="F1371" s="8" t="s">
        <v>4582</v>
      </c>
      <c r="G1371" s="12" t="s">
        <v>4583</v>
      </c>
      <c r="H1371" s="12">
        <v>4</v>
      </c>
      <c r="I1371" s="12" t="s">
        <v>4584</v>
      </c>
      <c r="J1371" s="12" t="s">
        <v>4585</v>
      </c>
      <c r="K1371" s="12" t="s">
        <v>4586</v>
      </c>
      <c r="L1371" s="13" t="str">
        <f>HYPERLINK("http://asia.ensembl.org/Homo_sapiens/Gene/Summary?g=ENSG00000237918", "ENSG00000237918")</f>
        <v>ENSG00000237918</v>
      </c>
      <c r="M1371" s="12" t="s">
        <v>13299</v>
      </c>
      <c r="N1371" s="12" t="s">
        <v>13300</v>
      </c>
    </row>
    <row r="1372" spans="1:14">
      <c r="A1372" s="12" t="s">
        <v>11140</v>
      </c>
      <c r="B1372" s="8">
        <v>383.77501380518999</v>
      </c>
      <c r="C1372" s="12">
        <v>178.934007748656</v>
      </c>
      <c r="D1372" s="8">
        <v>1.10083317751587</v>
      </c>
      <c r="E1372" s="12">
        <v>8.5484055587349908E-3</v>
      </c>
      <c r="F1372" s="8" t="s">
        <v>38</v>
      </c>
      <c r="G1372" s="12" t="s">
        <v>38</v>
      </c>
      <c r="H1372" s="12">
        <v>1</v>
      </c>
      <c r="I1372" s="12" t="s">
        <v>38</v>
      </c>
      <c r="J1372" s="12" t="s">
        <v>38</v>
      </c>
      <c r="K1372" s="12" t="s">
        <v>38</v>
      </c>
      <c r="L1372" s="13" t="str">
        <f>HYPERLINK("http://asia.ensembl.org/Homo_sapiens/Gene/Summary?g=ENSG00000106993", "ENSG00000106993")</f>
        <v>ENSG00000106993</v>
      </c>
      <c r="M1372" s="12" t="s">
        <v>11141</v>
      </c>
      <c r="N1372" s="12" t="s">
        <v>15995</v>
      </c>
    </row>
    <row r="1373" spans="1:14">
      <c r="A1373" s="12" t="s">
        <v>10116</v>
      </c>
      <c r="B1373" s="8">
        <v>3269.50330031453</v>
      </c>
      <c r="C1373" s="12">
        <v>1524.61513690723</v>
      </c>
      <c r="D1373" s="8">
        <v>1.1006263747037099</v>
      </c>
      <c r="E1373" s="12">
        <v>4.8235137007933103E-3</v>
      </c>
      <c r="F1373" s="8" t="s">
        <v>793</v>
      </c>
      <c r="G1373" s="12" t="s">
        <v>12114</v>
      </c>
      <c r="H1373" s="12">
        <v>1</v>
      </c>
      <c r="I1373" s="13" t="str">
        <f>HYPERLINK("http://www.ncbi.nlm.nih.gov/gene/5500", "5500")</f>
        <v>5500</v>
      </c>
      <c r="J1373" s="12" t="s">
        <v>12115</v>
      </c>
      <c r="K1373" s="12" t="s">
        <v>12116</v>
      </c>
      <c r="L1373" s="13" t="str">
        <f>HYPERLINK("http://asia.ensembl.org/Homo_sapiens/Gene/Summary?g=ENSG00000213639", "ENSG00000213639")</f>
        <v>ENSG00000213639</v>
      </c>
      <c r="M1373" s="12" t="s">
        <v>12117</v>
      </c>
      <c r="N1373" s="12" t="s">
        <v>12118</v>
      </c>
    </row>
    <row r="1374" spans="1:14">
      <c r="A1374" s="12" t="s">
        <v>5419</v>
      </c>
      <c r="B1374" s="8">
        <v>367.11170466504097</v>
      </c>
      <c r="C1374" s="12">
        <v>171.19079217211601</v>
      </c>
      <c r="D1374" s="8">
        <v>1.1006140071014501</v>
      </c>
      <c r="E1374" s="12">
        <v>7.5430138936234299E-3</v>
      </c>
      <c r="F1374" s="8" t="s">
        <v>5420</v>
      </c>
      <c r="G1374" s="12" t="s">
        <v>5421</v>
      </c>
      <c r="H1374" s="12">
        <v>1</v>
      </c>
      <c r="I1374" s="13" t="str">
        <f>HYPERLINK("http://www.ncbi.nlm.nih.gov/gene/11169", "11169")</f>
        <v>11169</v>
      </c>
      <c r="J1374" s="12" t="s">
        <v>13742</v>
      </c>
      <c r="K1374" s="12" t="s">
        <v>13743</v>
      </c>
      <c r="L1374" s="13" t="str">
        <f>HYPERLINK("http://asia.ensembl.org/Homo_sapiens/Gene/Summary?g=ENSG00000198554", "ENSG00000198554")</f>
        <v>ENSG00000198554</v>
      </c>
      <c r="M1374" s="12" t="s">
        <v>13744</v>
      </c>
      <c r="N1374" s="12" t="s">
        <v>13745</v>
      </c>
    </row>
    <row r="1375" spans="1:14">
      <c r="A1375" s="12" t="s">
        <v>7000</v>
      </c>
      <c r="B1375" s="8">
        <v>1466.75522077747</v>
      </c>
      <c r="C1375" s="12">
        <v>684.05370950235999</v>
      </c>
      <c r="D1375" s="8">
        <v>1.1004466171212399</v>
      </c>
      <c r="E1375" s="12">
        <v>7.1458065564285501E-3</v>
      </c>
      <c r="F1375" s="8" t="s">
        <v>7001</v>
      </c>
      <c r="G1375" s="12" t="s">
        <v>7002</v>
      </c>
      <c r="H1375" s="12">
        <v>1</v>
      </c>
      <c r="I1375" s="13" t="str">
        <f>HYPERLINK("http://www.ncbi.nlm.nih.gov/gene/4286", "4286")</f>
        <v>4286</v>
      </c>
      <c r="J1375" s="12" t="s">
        <v>14326</v>
      </c>
      <c r="K1375" s="12" t="s">
        <v>14327</v>
      </c>
      <c r="L1375" s="13" t="str">
        <f>HYPERLINK("http://asia.ensembl.org/Homo_sapiens/Gene/Summary?g=ENSG00000187098", "ENSG00000187098")</f>
        <v>ENSG00000187098</v>
      </c>
      <c r="M1375" s="12" t="s">
        <v>14328</v>
      </c>
      <c r="N1375" s="12" t="s">
        <v>14329</v>
      </c>
    </row>
    <row r="1376" spans="1:14">
      <c r="A1376" s="12" t="s">
        <v>2466</v>
      </c>
      <c r="B1376" s="8">
        <v>3445.97184292056</v>
      </c>
      <c r="C1376" s="12">
        <v>1607.7376090959399</v>
      </c>
      <c r="D1376" s="8">
        <v>1.0998789427258699</v>
      </c>
      <c r="E1376" s="12">
        <v>7.7612395361259696E-3</v>
      </c>
      <c r="F1376" s="8" t="s">
        <v>2467</v>
      </c>
      <c r="G1376" s="12" t="s">
        <v>2468</v>
      </c>
      <c r="H1376" s="12">
        <v>1</v>
      </c>
      <c r="I1376" s="13" t="str">
        <f>HYPERLINK("http://www.ncbi.nlm.nih.gov/gene/26039", "26039")</f>
        <v>26039</v>
      </c>
      <c r="J1376" s="13" t="str">
        <f>HYPERLINK("http://www.ncbi.nlm.nih.gov/nuccore/NM_198935", "NM_198935")</f>
        <v>NM_198935</v>
      </c>
      <c r="K1376" s="12" t="s">
        <v>2469</v>
      </c>
      <c r="L1376" s="13" t="str">
        <f>HYPERLINK("http://asia.ensembl.org/Homo_sapiens/Gene/Summary?g=ENSG00000184402", "ENSG00000184402")</f>
        <v>ENSG00000184402</v>
      </c>
      <c r="M1376" s="12" t="s">
        <v>12664</v>
      </c>
      <c r="N1376" s="12" t="s">
        <v>12665</v>
      </c>
    </row>
    <row r="1377" spans="1:14">
      <c r="A1377" s="12" t="s">
        <v>11123</v>
      </c>
      <c r="B1377" s="8">
        <v>285.34116367129701</v>
      </c>
      <c r="C1377" s="12">
        <v>133.17526163876099</v>
      </c>
      <c r="D1377" s="8">
        <v>1.09936177166574</v>
      </c>
      <c r="E1377" s="12">
        <v>8.7777896990663999E-4</v>
      </c>
      <c r="F1377" s="8" t="s">
        <v>6028</v>
      </c>
      <c r="G1377" s="12" t="s">
        <v>13589</v>
      </c>
      <c r="H1377" s="12">
        <v>1</v>
      </c>
      <c r="I1377" s="13" t="str">
        <f>HYPERLINK("http://www.ncbi.nlm.nih.gov/gene/368", "368")</f>
        <v>368</v>
      </c>
      <c r="J1377" s="13" t="str">
        <f>HYPERLINK("http://www.ncbi.nlm.nih.gov/nuccore/NM_001171", "NM_001171")</f>
        <v>NM_001171</v>
      </c>
      <c r="K1377" s="12" t="s">
        <v>6029</v>
      </c>
      <c r="L1377" s="13" t="str">
        <f>HYPERLINK("http://asia.ensembl.org/Homo_sapiens/Gene/Summary?g=ENSG00000275331", "ENSG00000275331")</f>
        <v>ENSG00000275331</v>
      </c>
      <c r="M1377" s="12" t="s">
        <v>6030</v>
      </c>
      <c r="N1377" s="12" t="s">
        <v>6031</v>
      </c>
    </row>
    <row r="1378" spans="1:14">
      <c r="A1378" s="12" t="s">
        <v>5548</v>
      </c>
      <c r="B1378" s="8">
        <v>7008.8894136966001</v>
      </c>
      <c r="C1378" s="12">
        <v>3271.9257758205299</v>
      </c>
      <c r="D1378" s="8">
        <v>1.0990458407244601</v>
      </c>
      <c r="E1378" s="12">
        <v>3.17099508098078E-3</v>
      </c>
      <c r="F1378" s="8" t="s">
        <v>5549</v>
      </c>
      <c r="G1378" s="12" t="s">
        <v>5550</v>
      </c>
      <c r="H1378" s="12">
        <v>1</v>
      </c>
      <c r="I1378" s="13" t="str">
        <f>HYPERLINK("http://www.ncbi.nlm.nih.gov/gene/3839", "3839")</f>
        <v>3839</v>
      </c>
      <c r="J1378" s="13" t="str">
        <f>HYPERLINK("http://www.ncbi.nlm.nih.gov/nuccore/NM_002267", "NM_002267")</f>
        <v>NM_002267</v>
      </c>
      <c r="K1378" s="12" t="s">
        <v>5551</v>
      </c>
      <c r="L1378" s="13" t="str">
        <f>HYPERLINK("http://asia.ensembl.org/Homo_sapiens/Gene/Summary?g=ENSG00000102753", "ENSG00000102753")</f>
        <v>ENSG00000102753</v>
      </c>
      <c r="M1378" s="12" t="s">
        <v>13821</v>
      </c>
      <c r="N1378" s="12" t="s">
        <v>13822</v>
      </c>
    </row>
    <row r="1379" spans="1:14">
      <c r="A1379" s="12" t="s">
        <v>2359</v>
      </c>
      <c r="B1379" s="8">
        <v>483.39155551202202</v>
      </c>
      <c r="C1379" s="12">
        <v>225.66357874213799</v>
      </c>
      <c r="D1379" s="8">
        <v>1.09901867879064</v>
      </c>
      <c r="E1379" s="12">
        <v>9.5274576235556199E-4</v>
      </c>
      <c r="F1379" s="8" t="s">
        <v>38</v>
      </c>
      <c r="G1379" s="12" t="s">
        <v>38</v>
      </c>
      <c r="H1379" s="12">
        <v>1</v>
      </c>
      <c r="I1379" s="12" t="s">
        <v>38</v>
      </c>
      <c r="J1379" s="12" t="s">
        <v>38</v>
      </c>
      <c r="K1379" s="12" t="s">
        <v>38</v>
      </c>
      <c r="L1379" s="13" t="str">
        <f>HYPERLINK("http://asia.ensembl.org/Homo_sapiens/Gene/Summary?g=ENSG00000173905", "ENSG00000173905")</f>
        <v>ENSG00000173905</v>
      </c>
      <c r="M1379" s="12" t="s">
        <v>2360</v>
      </c>
      <c r="N1379" s="12" t="s">
        <v>12610</v>
      </c>
    </row>
    <row r="1380" spans="1:14">
      <c r="A1380" s="12" t="s">
        <v>10442</v>
      </c>
      <c r="B1380" s="8">
        <v>2427.82507990863</v>
      </c>
      <c r="C1380" s="12">
        <v>1133.5286431971099</v>
      </c>
      <c r="D1380" s="8">
        <v>1.09884363487745</v>
      </c>
      <c r="E1380" s="12">
        <v>2.1168870752051E-3</v>
      </c>
      <c r="F1380" s="8" t="s">
        <v>5022</v>
      </c>
      <c r="G1380" s="12" t="s">
        <v>5023</v>
      </c>
      <c r="H1380" s="12">
        <v>1</v>
      </c>
      <c r="I1380" s="13" t="str">
        <f>HYPERLINK("http://www.ncbi.nlm.nih.gov/gene/23432", "23432")</f>
        <v>23432</v>
      </c>
      <c r="J1380" s="12" t="s">
        <v>15433</v>
      </c>
      <c r="K1380" s="12" t="s">
        <v>15434</v>
      </c>
      <c r="L1380" s="13" t="str">
        <f>HYPERLINK("http://asia.ensembl.org/Homo_sapiens/Gene/Summary?g=ENSG00000143147", "ENSG00000143147")</f>
        <v>ENSG00000143147</v>
      </c>
      <c r="M1380" s="12" t="s">
        <v>15435</v>
      </c>
      <c r="N1380" s="12" t="s">
        <v>15436</v>
      </c>
    </row>
    <row r="1381" spans="1:14">
      <c r="A1381" s="12" t="s">
        <v>1781</v>
      </c>
      <c r="B1381" s="8">
        <v>3693.4114893963902</v>
      </c>
      <c r="C1381" s="12">
        <v>1725.7059455572901</v>
      </c>
      <c r="D1381" s="8">
        <v>1.09776734954633</v>
      </c>
      <c r="E1381" s="12">
        <v>4.1779622069745299E-3</v>
      </c>
      <c r="F1381" s="8" t="s">
        <v>1782</v>
      </c>
      <c r="G1381" s="12" t="s">
        <v>12416</v>
      </c>
      <c r="H1381" s="12">
        <v>1</v>
      </c>
      <c r="I1381" s="13" t="str">
        <f>HYPERLINK("http://www.ncbi.nlm.nih.gov/gene/528", "528")</f>
        <v>528</v>
      </c>
      <c r="J1381" s="13" t="str">
        <f>HYPERLINK("http://www.ncbi.nlm.nih.gov/nuccore/NM_001695", "NM_001695")</f>
        <v>NM_001695</v>
      </c>
      <c r="K1381" s="12" t="s">
        <v>1783</v>
      </c>
      <c r="L1381" s="13" t="str">
        <f>HYPERLINK("http://asia.ensembl.org/Homo_sapiens/Gene/Summary?g=ENSG00000155097", "ENSG00000155097")</f>
        <v>ENSG00000155097</v>
      </c>
      <c r="M1381" s="12" t="s">
        <v>12417</v>
      </c>
      <c r="N1381" s="12" t="s">
        <v>12418</v>
      </c>
    </row>
    <row r="1382" spans="1:14">
      <c r="A1382" s="12" t="s">
        <v>761</v>
      </c>
      <c r="B1382" s="8">
        <v>1565.35898017615</v>
      </c>
      <c r="C1382" s="12">
        <v>731.44221121556905</v>
      </c>
      <c r="D1382" s="8">
        <v>1.09767775353219</v>
      </c>
      <c r="E1382" s="12">
        <v>7.2522052240166597E-3</v>
      </c>
      <c r="F1382" s="8" t="s">
        <v>762</v>
      </c>
      <c r="G1382" s="12" t="s">
        <v>763</v>
      </c>
      <c r="H1382" s="12">
        <v>1</v>
      </c>
      <c r="I1382" s="13" t="str">
        <f>HYPERLINK("http://www.ncbi.nlm.nih.gov/gene/283431", "283431")</f>
        <v>283431</v>
      </c>
      <c r="J1382" s="13" t="str">
        <f>HYPERLINK("http://www.ncbi.nlm.nih.gov/nuccore/NM_174942", "NM_174942")</f>
        <v>NM_174942</v>
      </c>
      <c r="K1382" s="12" t="s">
        <v>764</v>
      </c>
      <c r="L1382" s="13" t="str">
        <f>HYPERLINK("http://asia.ensembl.org/Homo_sapiens/Gene/Summary?g=ENSG00000139354", "ENSG00000139354")</f>
        <v>ENSG00000139354</v>
      </c>
      <c r="M1382" s="12" t="s">
        <v>12097</v>
      </c>
      <c r="N1382" s="12" t="s">
        <v>12098</v>
      </c>
    </row>
    <row r="1383" spans="1:14">
      <c r="A1383" s="12" t="s">
        <v>5511</v>
      </c>
      <c r="B1383" s="8">
        <v>7650.4520175466096</v>
      </c>
      <c r="C1383" s="12">
        <v>3576.5529130741402</v>
      </c>
      <c r="D1383" s="8">
        <v>1.0969752046461401</v>
      </c>
      <c r="E1383" s="12">
        <v>4.0759006446742302E-3</v>
      </c>
      <c r="F1383" s="8" t="s">
        <v>5512</v>
      </c>
      <c r="G1383" s="12" t="s">
        <v>5513</v>
      </c>
      <c r="H1383" s="12">
        <v>1</v>
      </c>
      <c r="I1383" s="13" t="str">
        <f>HYPERLINK("http://www.ncbi.nlm.nih.gov/gene/84128", "84128")</f>
        <v>84128</v>
      </c>
      <c r="J1383" s="13" t="str">
        <f>HYPERLINK("http://www.ncbi.nlm.nih.gov/nuccore/NM_032168", "NM_032168")</f>
        <v>NM_032168</v>
      </c>
      <c r="K1383" s="12" t="s">
        <v>5514</v>
      </c>
      <c r="L1383" s="13" t="str">
        <f>HYPERLINK("http://asia.ensembl.org/Homo_sapiens/Gene/Summary?g=ENSG00000115368", "ENSG00000115368")</f>
        <v>ENSG00000115368</v>
      </c>
      <c r="M1383" s="12" t="s">
        <v>13795</v>
      </c>
      <c r="N1383" s="12" t="s">
        <v>13796</v>
      </c>
    </row>
    <row r="1384" spans="1:14">
      <c r="A1384" s="12" t="s">
        <v>11220</v>
      </c>
      <c r="B1384" s="8">
        <v>690.16057107403799</v>
      </c>
      <c r="C1384" s="12">
        <v>322.70435201176201</v>
      </c>
      <c r="D1384" s="8">
        <v>1.09671902061552</v>
      </c>
      <c r="E1384" s="12">
        <v>1.18252576895747E-3</v>
      </c>
      <c r="F1384" s="8" t="s">
        <v>4563</v>
      </c>
      <c r="G1384" s="12" t="s">
        <v>15972</v>
      </c>
      <c r="H1384" s="12">
        <v>1</v>
      </c>
      <c r="I1384" s="13" t="str">
        <f>HYPERLINK("http://www.ncbi.nlm.nih.gov/gene/2005", "2005")</f>
        <v>2005</v>
      </c>
      <c r="J1384" s="13" t="str">
        <f>HYPERLINK("http://www.ncbi.nlm.nih.gov/nuccore/NM_001973", "NM_001973")</f>
        <v>NM_001973</v>
      </c>
      <c r="K1384" s="12" t="s">
        <v>11086</v>
      </c>
      <c r="L1384" s="13" t="str">
        <f>HYPERLINK("http://asia.ensembl.org/Homo_sapiens/Gene/Summary?g=ENSG00000158711", "ENSG00000158711")</f>
        <v>ENSG00000158711</v>
      </c>
      <c r="M1384" s="12" t="s">
        <v>15973</v>
      </c>
      <c r="N1384" s="12" t="s">
        <v>15974</v>
      </c>
    </row>
    <row r="1385" spans="1:14">
      <c r="A1385" s="12" t="s">
        <v>3522</v>
      </c>
      <c r="B1385" s="8">
        <v>1046.7936941778801</v>
      </c>
      <c r="C1385" s="12">
        <v>489.51413027749197</v>
      </c>
      <c r="D1385" s="8">
        <v>1.0965547285492701</v>
      </c>
      <c r="E1385" s="12">
        <v>3.26970193667348E-3</v>
      </c>
      <c r="F1385" s="8" t="s">
        <v>3523</v>
      </c>
      <c r="G1385" s="12" t="s">
        <v>3524</v>
      </c>
      <c r="H1385" s="12">
        <v>1</v>
      </c>
      <c r="I1385" s="13" t="str">
        <f>HYPERLINK("http://www.ncbi.nlm.nih.gov/gene/7705", "7705")</f>
        <v>7705</v>
      </c>
      <c r="J1385" s="12" t="s">
        <v>13031</v>
      </c>
      <c r="K1385" s="12" t="s">
        <v>13032</v>
      </c>
      <c r="L1385" s="13" t="str">
        <f>HYPERLINK("http://asia.ensembl.org/Homo_sapiens/Gene/Summary?g=ENSG00000167635", "ENSG00000167635")</f>
        <v>ENSG00000167635</v>
      </c>
      <c r="M1385" s="12" t="s">
        <v>13033</v>
      </c>
      <c r="N1385" s="12" t="s">
        <v>13034</v>
      </c>
    </row>
    <row r="1386" spans="1:14">
      <c r="A1386" s="12" t="s">
        <v>10745</v>
      </c>
      <c r="B1386" s="8">
        <v>499.69622541631401</v>
      </c>
      <c r="C1386" s="12">
        <v>233.76839398745199</v>
      </c>
      <c r="D1386" s="8">
        <v>1.0959714329071</v>
      </c>
      <c r="E1386" s="12">
        <v>1.28437689699809E-2</v>
      </c>
      <c r="F1386" s="8" t="s">
        <v>1033</v>
      </c>
      <c r="G1386" s="12" t="s">
        <v>1034</v>
      </c>
      <c r="H1386" s="12">
        <v>1</v>
      </c>
      <c r="I1386" s="13" t="str">
        <f>HYPERLINK("http://www.ncbi.nlm.nih.gov/gene/51633", "51633")</f>
        <v>51633</v>
      </c>
      <c r="J1386" s="13" t="str">
        <f>HYPERLINK("http://www.ncbi.nlm.nih.gov/nuccore/NM_016023", "NM_016023")</f>
        <v>NM_016023</v>
      </c>
      <c r="K1386" s="12" t="s">
        <v>1035</v>
      </c>
      <c r="L1386" s="13" t="str">
        <f>HYPERLINK("http://asia.ensembl.org/Homo_sapiens/Gene/Summary?g=ENSG00000155100", "ENSG00000155100")</f>
        <v>ENSG00000155100</v>
      </c>
      <c r="M1386" s="12" t="s">
        <v>15806</v>
      </c>
      <c r="N1386" s="12" t="s">
        <v>15807</v>
      </c>
    </row>
    <row r="1387" spans="1:14">
      <c r="A1387" s="12" t="s">
        <v>11692</v>
      </c>
      <c r="B1387" s="8">
        <v>372.99087703591698</v>
      </c>
      <c r="C1387" s="12">
        <v>174.55718706118</v>
      </c>
      <c r="D1387" s="8">
        <v>1.0954405857643399</v>
      </c>
      <c r="E1387" s="12">
        <v>1.40787144795862E-2</v>
      </c>
      <c r="F1387" s="8" t="s">
        <v>38</v>
      </c>
      <c r="G1387" s="12" t="s">
        <v>38</v>
      </c>
      <c r="H1387" s="12">
        <v>1</v>
      </c>
      <c r="I1387" s="12" t="s">
        <v>38</v>
      </c>
      <c r="J1387" s="12" t="s">
        <v>38</v>
      </c>
      <c r="K1387" s="12" t="s">
        <v>38</v>
      </c>
      <c r="L1387" s="12" t="s">
        <v>11693</v>
      </c>
      <c r="M1387" s="12" t="s">
        <v>11694</v>
      </c>
      <c r="N1387" s="12" t="s">
        <v>11695</v>
      </c>
    </row>
    <row r="1388" spans="1:14">
      <c r="A1388" s="12" t="s">
        <v>10119</v>
      </c>
      <c r="B1388" s="8">
        <v>488.29316102658299</v>
      </c>
      <c r="C1388" s="12">
        <v>228.54900651612201</v>
      </c>
      <c r="D1388" s="8">
        <v>1.09524402423119</v>
      </c>
      <c r="E1388" s="12">
        <v>4.9852953272442498E-3</v>
      </c>
      <c r="F1388" s="8" t="s">
        <v>8914</v>
      </c>
      <c r="G1388" s="12" t="s">
        <v>14937</v>
      </c>
      <c r="H1388" s="12">
        <v>1</v>
      </c>
      <c r="I1388" s="13" t="str">
        <f>HYPERLINK("http://www.ncbi.nlm.nih.gov/gene/147947", "147947")</f>
        <v>147947</v>
      </c>
      <c r="J1388" s="12" t="s">
        <v>14938</v>
      </c>
      <c r="K1388" s="12" t="s">
        <v>12796</v>
      </c>
      <c r="L1388" s="13" t="str">
        <f>HYPERLINK("http://asia.ensembl.org/Homo_sapiens/Gene/Summary?g=ENSG00000240225", "ENSG00000240225")</f>
        <v>ENSG00000240225</v>
      </c>
      <c r="M1388" s="12" t="s">
        <v>14939</v>
      </c>
    </row>
    <row r="1389" spans="1:14">
      <c r="A1389" s="12" t="s">
        <v>7330</v>
      </c>
      <c r="B1389" s="8">
        <v>754.31409740453603</v>
      </c>
      <c r="C1389" s="12">
        <v>353.14837045575302</v>
      </c>
      <c r="D1389" s="8">
        <v>1.0948909493166701</v>
      </c>
      <c r="E1389" s="12">
        <v>4.0511223320311802E-3</v>
      </c>
      <c r="F1389" s="8" t="s">
        <v>7331</v>
      </c>
      <c r="G1389" s="12" t="s">
        <v>7332</v>
      </c>
      <c r="H1389" s="12">
        <v>1</v>
      </c>
      <c r="I1389" s="13" t="str">
        <f>HYPERLINK("http://www.ncbi.nlm.nih.gov/gene/127396", "127396")</f>
        <v>127396</v>
      </c>
      <c r="J1389" s="13" t="str">
        <f>HYPERLINK("http://www.ncbi.nlm.nih.gov/nuccore/NM_152373", "NM_152373")</f>
        <v>NM_152373</v>
      </c>
      <c r="K1389" s="12" t="s">
        <v>7333</v>
      </c>
      <c r="L1389" s="13" t="str">
        <f>HYPERLINK("http://asia.ensembl.org/Homo_sapiens/Gene/Summary?g=ENSG00000117010", "ENSG00000117010")</f>
        <v>ENSG00000117010</v>
      </c>
      <c r="M1389" s="12" t="s">
        <v>14403</v>
      </c>
      <c r="N1389" s="12" t="s">
        <v>14404</v>
      </c>
    </row>
    <row r="1390" spans="1:14">
      <c r="A1390" s="12" t="s">
        <v>2081</v>
      </c>
      <c r="B1390" s="8">
        <v>2926.40520247624</v>
      </c>
      <c r="C1390" s="12">
        <v>1370.6590337192699</v>
      </c>
      <c r="D1390" s="8">
        <v>1.0942598152515699</v>
      </c>
      <c r="E1390" s="12">
        <v>4.9146929980496698E-3</v>
      </c>
      <c r="F1390" s="8" t="s">
        <v>2082</v>
      </c>
      <c r="G1390" s="12" t="s">
        <v>2083</v>
      </c>
      <c r="H1390" s="12">
        <v>1</v>
      </c>
      <c r="I1390" s="13" t="str">
        <f>HYPERLINK("http://www.ncbi.nlm.nih.gov/gene/57599", "57599")</f>
        <v>57599</v>
      </c>
      <c r="J1390" s="13" t="str">
        <f>HYPERLINK("http://www.ncbi.nlm.nih.gov/nuccore/NM_020839", "NM_020839")</f>
        <v>NM_020839</v>
      </c>
      <c r="K1390" s="12" t="s">
        <v>2084</v>
      </c>
      <c r="L1390" s="13" t="str">
        <f>HYPERLINK("http://asia.ensembl.org/Homo_sapiens/Gene/Summary?g=ENSG00000114742", "ENSG00000114742")</f>
        <v>ENSG00000114742</v>
      </c>
      <c r="M1390" s="12" t="s">
        <v>12541</v>
      </c>
      <c r="N1390" s="12" t="s">
        <v>12542</v>
      </c>
    </row>
    <row r="1391" spans="1:14">
      <c r="A1391" s="12" t="s">
        <v>8696</v>
      </c>
      <c r="B1391" s="8">
        <v>1786.4193700338701</v>
      </c>
      <c r="C1391" s="12">
        <v>836.94902342179296</v>
      </c>
      <c r="D1391" s="8">
        <v>1.0938591399762401</v>
      </c>
      <c r="E1391" s="12">
        <v>1.10761405903139E-2</v>
      </c>
      <c r="F1391" s="8" t="s">
        <v>4364</v>
      </c>
      <c r="G1391" s="12" t="s">
        <v>93</v>
      </c>
      <c r="H1391" s="12">
        <v>1</v>
      </c>
      <c r="I1391" s="13" t="str">
        <f>HYPERLINK("http://www.ncbi.nlm.nih.gov/gene/5611", "5611")</f>
        <v>5611</v>
      </c>
      <c r="J1391" s="13" t="str">
        <f>HYPERLINK("http://www.ncbi.nlm.nih.gov/nuccore/NM_006260", "NM_006260")</f>
        <v>NM_006260</v>
      </c>
      <c r="K1391" s="12" t="s">
        <v>4365</v>
      </c>
      <c r="L1391" s="13" t="str">
        <f>HYPERLINK("http://asia.ensembl.org/Homo_sapiens/Gene/Summary?g=ENSG00000102580", "ENSG00000102580")</f>
        <v>ENSG00000102580</v>
      </c>
      <c r="M1391" s="12" t="s">
        <v>14828</v>
      </c>
      <c r="N1391" s="12" t="s">
        <v>14829</v>
      </c>
    </row>
    <row r="1392" spans="1:14">
      <c r="A1392" s="12" t="s">
        <v>5066</v>
      </c>
      <c r="B1392" s="8">
        <v>642.98436721678002</v>
      </c>
      <c r="C1392" s="12">
        <v>301.307301529933</v>
      </c>
      <c r="D1392" s="8">
        <v>1.0935480280038601</v>
      </c>
      <c r="E1392" s="12">
        <v>6.20397284217038E-4</v>
      </c>
      <c r="F1392" s="8" t="s">
        <v>5067</v>
      </c>
      <c r="G1392" s="12" t="s">
        <v>13559</v>
      </c>
      <c r="H1392" s="12">
        <v>1</v>
      </c>
      <c r="I1392" s="13" t="str">
        <f>HYPERLINK("http://www.ncbi.nlm.nih.gov/gene/6738", "6738")</f>
        <v>6738</v>
      </c>
      <c r="J1392" s="12" t="s">
        <v>13560</v>
      </c>
      <c r="K1392" s="12" t="s">
        <v>13561</v>
      </c>
      <c r="L1392" s="13" t="str">
        <f>HYPERLINK("http://asia.ensembl.org/Homo_sapiens/Gene/Summary?g=ENSG00000116747", "ENSG00000116747")</f>
        <v>ENSG00000116747</v>
      </c>
      <c r="M1392" s="12" t="s">
        <v>13562</v>
      </c>
      <c r="N1392" s="12" t="s">
        <v>13563</v>
      </c>
    </row>
    <row r="1393" spans="1:14">
      <c r="A1393" s="12" t="s">
        <v>7608</v>
      </c>
      <c r="B1393" s="8">
        <v>162.358426075723</v>
      </c>
      <c r="C1393" s="12">
        <v>76.115691252028</v>
      </c>
      <c r="D1393" s="8">
        <v>1.0929164584103299</v>
      </c>
      <c r="E1393" s="12">
        <v>1.2667005602514299E-2</v>
      </c>
      <c r="F1393" s="8" t="s">
        <v>7609</v>
      </c>
      <c r="G1393" s="12" t="s">
        <v>7610</v>
      </c>
      <c r="H1393" s="12">
        <v>1</v>
      </c>
      <c r="I1393" s="13" t="str">
        <f>HYPERLINK("http://www.ncbi.nlm.nih.gov/gene/54876", "54876")</f>
        <v>54876</v>
      </c>
      <c r="J1393" s="13" t="str">
        <f>HYPERLINK("http://www.ncbi.nlm.nih.gov/nuccore/NM_017741", "NM_017741")</f>
        <v>NM_017741</v>
      </c>
      <c r="K1393" s="12" t="s">
        <v>7611</v>
      </c>
      <c r="L1393" s="13" t="str">
        <f>HYPERLINK("http://asia.ensembl.org/Homo_sapiens/Gene/Summary?g=ENSG00000163257", "ENSG00000163257")</f>
        <v>ENSG00000163257</v>
      </c>
      <c r="M1393" s="12" t="s">
        <v>14480</v>
      </c>
      <c r="N1393" s="12" t="s">
        <v>7612</v>
      </c>
    </row>
    <row r="1394" spans="1:14">
      <c r="A1394" s="12" t="s">
        <v>6779</v>
      </c>
      <c r="B1394" s="8">
        <v>4248.5422085360296</v>
      </c>
      <c r="C1394" s="12">
        <v>1992.5164722531999</v>
      </c>
      <c r="D1394" s="8">
        <v>1.0923762467745</v>
      </c>
      <c r="E1394" s="12">
        <v>7.5870987538330199E-3</v>
      </c>
      <c r="F1394" s="8" t="s">
        <v>6780</v>
      </c>
      <c r="G1394" s="12" t="s">
        <v>6781</v>
      </c>
      <c r="H1394" s="12">
        <v>1</v>
      </c>
      <c r="I1394" s="13" t="str">
        <f>HYPERLINK("http://www.ncbi.nlm.nih.gov/gene/79576", "79576")</f>
        <v>79576</v>
      </c>
      <c r="J1394" s="13" t="str">
        <f>HYPERLINK("http://www.ncbi.nlm.nih.gov/nuccore/NM_024528", "NM_024528")</f>
        <v>NM_024528</v>
      </c>
      <c r="K1394" s="12" t="s">
        <v>6782</v>
      </c>
      <c r="L1394" s="13" t="str">
        <f>HYPERLINK("http://asia.ensembl.org/Homo_sapiens/Gene/Summary?g=ENSG00000101882", "ENSG00000101882")</f>
        <v>ENSG00000101882</v>
      </c>
      <c r="M1394" s="12" t="s">
        <v>14256</v>
      </c>
      <c r="N1394" s="12" t="s">
        <v>6783</v>
      </c>
    </row>
    <row r="1395" spans="1:14">
      <c r="A1395" s="12" t="s">
        <v>3608</v>
      </c>
      <c r="B1395" s="8">
        <v>214.900303433956</v>
      </c>
      <c r="C1395" s="12">
        <v>100.858854425065</v>
      </c>
      <c r="D1395" s="8">
        <v>1.0913297757335101</v>
      </c>
      <c r="E1395" s="12">
        <v>4.4418435143674502E-2</v>
      </c>
      <c r="F1395" s="8" t="s">
        <v>3324</v>
      </c>
      <c r="G1395" s="12" t="s">
        <v>3325</v>
      </c>
      <c r="H1395" s="12">
        <v>1</v>
      </c>
      <c r="I1395" s="13" t="str">
        <f>HYPERLINK("http://www.ncbi.nlm.nih.gov/gene/254394", "254394")</f>
        <v>254394</v>
      </c>
      <c r="J1395" s="13" t="str">
        <f>HYPERLINK("http://www.ncbi.nlm.nih.gov/nuccore/NM_153255", "NM_153255")</f>
        <v>NM_153255</v>
      </c>
      <c r="K1395" s="12" t="s">
        <v>3609</v>
      </c>
      <c r="L1395" s="13" t="str">
        <f>HYPERLINK("http://asia.ensembl.org/Homo_sapiens/Gene/Summary?g=ENSG00000111877", "ENSG00000111877")</f>
        <v>ENSG00000111877</v>
      </c>
      <c r="M1395" s="12" t="s">
        <v>13058</v>
      </c>
      <c r="N1395" s="12" t="s">
        <v>13059</v>
      </c>
    </row>
    <row r="1396" spans="1:14">
      <c r="A1396" s="12" t="s">
        <v>6416</v>
      </c>
      <c r="B1396" s="8">
        <v>493.59939475378098</v>
      </c>
      <c r="C1396" s="12">
        <v>231.66411541358099</v>
      </c>
      <c r="D1396" s="8">
        <v>1.0913060362720099</v>
      </c>
      <c r="E1396" s="12">
        <v>3.25231969460032E-3</v>
      </c>
      <c r="F1396" s="8" t="s">
        <v>6417</v>
      </c>
      <c r="G1396" s="12" t="s">
        <v>6418</v>
      </c>
      <c r="H1396" s="12">
        <v>1</v>
      </c>
      <c r="I1396" s="13" t="str">
        <f>HYPERLINK("http://www.ncbi.nlm.nih.gov/gene/51163", "51163")</f>
        <v>51163</v>
      </c>
      <c r="J1396" s="13" t="str">
        <f>HYPERLINK("http://www.ncbi.nlm.nih.gov/nuccore/NM_016216", "NM_016216")</f>
        <v>NM_016216</v>
      </c>
      <c r="K1396" s="12" t="s">
        <v>6419</v>
      </c>
      <c r="L1396" s="13" t="str">
        <f>HYPERLINK("http://asia.ensembl.org/Homo_sapiens/Gene/Summary?g=ENSG00000138231", "ENSG00000138231")</f>
        <v>ENSG00000138231</v>
      </c>
      <c r="M1396" s="12" t="s">
        <v>14174</v>
      </c>
      <c r="N1396" s="12" t="s">
        <v>14175</v>
      </c>
    </row>
    <row r="1397" spans="1:14">
      <c r="A1397" s="12" t="s">
        <v>344</v>
      </c>
      <c r="B1397" s="8">
        <v>2714.2335667413299</v>
      </c>
      <c r="C1397" s="12">
        <v>1274.51788513048</v>
      </c>
      <c r="D1397" s="8">
        <v>1.09059325505825</v>
      </c>
      <c r="E1397" s="12">
        <v>1.0833636533012199E-2</v>
      </c>
      <c r="F1397" s="8" t="s">
        <v>345</v>
      </c>
      <c r="G1397" s="12" t="s">
        <v>346</v>
      </c>
      <c r="H1397" s="12">
        <v>1</v>
      </c>
      <c r="I1397" s="13" t="str">
        <f>HYPERLINK("http://www.ncbi.nlm.nih.gov/gene/23360", "23360")</f>
        <v>23360</v>
      </c>
      <c r="J1397" s="13" t="str">
        <f>HYPERLINK("http://www.ncbi.nlm.nih.gov/nuccore/NM_015308", "NM_015308")</f>
        <v>NM_015308</v>
      </c>
      <c r="K1397" s="12" t="s">
        <v>347</v>
      </c>
      <c r="L1397" s="13" t="str">
        <f>HYPERLINK("http://asia.ensembl.org/Homo_sapiens/Gene/Summary?g=ENSG00000109920", "ENSG00000109920")</f>
        <v>ENSG00000109920</v>
      </c>
      <c r="M1397" s="12" t="s">
        <v>11953</v>
      </c>
      <c r="N1397" s="12" t="s">
        <v>11954</v>
      </c>
    </row>
    <row r="1398" spans="1:14">
      <c r="A1398" s="12" t="s">
        <v>7407</v>
      </c>
      <c r="B1398" s="8">
        <v>401.29919405359698</v>
      </c>
      <c r="C1398" s="12">
        <v>188.43872165662401</v>
      </c>
      <c r="D1398" s="8">
        <v>1.0905828085951801</v>
      </c>
      <c r="E1398" s="12">
        <v>3.9040743002896798E-3</v>
      </c>
      <c r="F1398" s="8" t="s">
        <v>7408</v>
      </c>
      <c r="G1398" s="12" t="s">
        <v>7409</v>
      </c>
      <c r="H1398" s="12">
        <v>1</v>
      </c>
      <c r="I1398" s="13" t="str">
        <f>HYPERLINK("http://www.ncbi.nlm.nih.gov/gene/11259", "11259")</f>
        <v>11259</v>
      </c>
      <c r="J1398" s="12" t="s">
        <v>14420</v>
      </c>
      <c r="K1398" s="12" t="s">
        <v>14421</v>
      </c>
      <c r="L1398" s="13" t="str">
        <f>HYPERLINK("http://asia.ensembl.org/Homo_sapiens/Gene/Summary?g=ENSG00000168386", "ENSG00000168386")</f>
        <v>ENSG00000168386</v>
      </c>
      <c r="M1398" s="12" t="s">
        <v>14422</v>
      </c>
      <c r="N1398" s="12" t="s">
        <v>14423</v>
      </c>
    </row>
    <row r="1399" spans="1:14">
      <c r="A1399" s="12" t="s">
        <v>1876</v>
      </c>
      <c r="B1399" s="8">
        <v>541.86064350090703</v>
      </c>
      <c r="C1399" s="12">
        <v>254.45864016331399</v>
      </c>
      <c r="D1399" s="8">
        <v>1.09049068592702</v>
      </c>
      <c r="E1399" s="12">
        <v>1.8709480010371801E-2</v>
      </c>
      <c r="F1399" s="8" t="s">
        <v>1877</v>
      </c>
      <c r="G1399" s="12" t="s">
        <v>1878</v>
      </c>
      <c r="H1399" s="12">
        <v>1</v>
      </c>
      <c r="I1399" s="13" t="str">
        <f>HYPERLINK("http://www.ncbi.nlm.nih.gov/gene/9943", "9943")</f>
        <v>9943</v>
      </c>
      <c r="J1399" s="13" t="str">
        <f>HYPERLINK("http://www.ncbi.nlm.nih.gov/nuccore/NM_005109", "NM_005109")</f>
        <v>NM_005109</v>
      </c>
      <c r="K1399" s="12" t="s">
        <v>1879</v>
      </c>
      <c r="L1399" s="13" t="str">
        <f>HYPERLINK("http://asia.ensembl.org/Homo_sapiens/Gene/Summary?g=ENSG00000172939", "ENSG00000172939")</f>
        <v>ENSG00000172939</v>
      </c>
      <c r="M1399" s="12" t="s">
        <v>12461</v>
      </c>
      <c r="N1399" s="12" t="s">
        <v>12462</v>
      </c>
    </row>
    <row r="1400" spans="1:14">
      <c r="A1400" s="12" t="s">
        <v>10637</v>
      </c>
      <c r="B1400" s="8">
        <v>6213.32781394414</v>
      </c>
      <c r="C1400" s="12">
        <v>2918.0485046429199</v>
      </c>
      <c r="D1400" s="8">
        <v>1.0903623082443299</v>
      </c>
      <c r="E1400" s="12">
        <v>2.32943944160303E-2</v>
      </c>
      <c r="F1400" s="8" t="s">
        <v>607</v>
      </c>
      <c r="G1400" s="12" t="s">
        <v>608</v>
      </c>
      <c r="H1400" s="12">
        <v>1</v>
      </c>
      <c r="I1400" s="13" t="str">
        <f>HYPERLINK("http://www.ncbi.nlm.nih.gov/gene/205564", "205564")</f>
        <v>205564</v>
      </c>
      <c r="J1400" s="13" t="str">
        <f>HYPERLINK("http://www.ncbi.nlm.nih.gov/nuccore/NM_152699", "NM_152699")</f>
        <v>NM_152699</v>
      </c>
      <c r="K1400" s="12" t="s">
        <v>609</v>
      </c>
      <c r="L1400" s="13" t="str">
        <f>HYPERLINK("http://asia.ensembl.org/Homo_sapiens/Gene/Summary?g=ENSG00000119231", "ENSG00000119231")</f>
        <v>ENSG00000119231</v>
      </c>
      <c r="M1400" s="12" t="s">
        <v>15652</v>
      </c>
      <c r="N1400" s="12" t="s">
        <v>15653</v>
      </c>
    </row>
    <row r="1401" spans="1:14">
      <c r="A1401" s="12" t="s">
        <v>5877</v>
      </c>
      <c r="B1401" s="8">
        <v>6977.1798235986598</v>
      </c>
      <c r="C1401" s="12">
        <v>3277.3055747501598</v>
      </c>
      <c r="D1401" s="8">
        <v>1.09013382135423</v>
      </c>
      <c r="E1401" s="12">
        <v>5.41953229767414E-3</v>
      </c>
      <c r="F1401" s="8" t="s">
        <v>5878</v>
      </c>
      <c r="G1401" s="12" t="s">
        <v>13947</v>
      </c>
      <c r="H1401" s="12">
        <v>1</v>
      </c>
      <c r="I1401" s="13" t="str">
        <f>HYPERLINK("http://www.ncbi.nlm.nih.gov/gene/23269", "23269")</f>
        <v>23269</v>
      </c>
      <c r="J1401" s="12" t="s">
        <v>13948</v>
      </c>
      <c r="K1401" s="12" t="s">
        <v>13949</v>
      </c>
      <c r="L1401" s="13" t="str">
        <f>HYPERLINK("http://asia.ensembl.org/Homo_sapiens/Gene/Summary?g=ENSG00000174197", "ENSG00000174197")</f>
        <v>ENSG00000174197</v>
      </c>
      <c r="M1401" s="12" t="s">
        <v>13950</v>
      </c>
      <c r="N1401" s="12" t="s">
        <v>13951</v>
      </c>
    </row>
    <row r="1402" spans="1:14">
      <c r="A1402" s="12" t="s">
        <v>994</v>
      </c>
      <c r="B1402" s="8">
        <v>11688.1207890224</v>
      </c>
      <c r="C1402" s="12">
        <v>5493.1212268500403</v>
      </c>
      <c r="D1402" s="8">
        <v>1.08934495669717</v>
      </c>
      <c r="E1402" s="12">
        <v>6.1911493991037396E-3</v>
      </c>
      <c r="F1402" s="8" t="s">
        <v>995</v>
      </c>
      <c r="G1402" s="12" t="s">
        <v>289</v>
      </c>
      <c r="H1402" s="12">
        <v>1</v>
      </c>
      <c r="I1402" s="13" t="str">
        <f>HYPERLINK("http://www.ncbi.nlm.nih.gov/gene/79665", "79665")</f>
        <v>79665</v>
      </c>
      <c r="J1402" s="12" t="s">
        <v>12187</v>
      </c>
      <c r="K1402" s="12" t="s">
        <v>12188</v>
      </c>
      <c r="L1402" s="13" t="str">
        <f>HYPERLINK("http://asia.ensembl.org/Homo_sapiens/Gene/Summary?g=ENSG00000108406", "ENSG00000108406")</f>
        <v>ENSG00000108406</v>
      </c>
      <c r="M1402" s="12" t="s">
        <v>12189</v>
      </c>
      <c r="N1402" s="12" t="s">
        <v>12190</v>
      </c>
    </row>
    <row r="1403" spans="1:14">
      <c r="A1403" s="12" t="s">
        <v>6117</v>
      </c>
      <c r="B1403" s="8">
        <v>471.86468773625</v>
      </c>
      <c r="C1403" s="12">
        <v>221.77217098798801</v>
      </c>
      <c r="D1403" s="8">
        <v>1.0892948698878699</v>
      </c>
      <c r="E1403" s="12">
        <v>1.4604472160646999E-2</v>
      </c>
      <c r="F1403" s="8" t="s">
        <v>6118</v>
      </c>
      <c r="G1403" s="12" t="s">
        <v>14057</v>
      </c>
      <c r="H1403" s="12">
        <v>1</v>
      </c>
      <c r="I1403" s="13" t="str">
        <f>HYPERLINK("http://www.ncbi.nlm.nih.gov/gene/9392", "9392")</f>
        <v>9392</v>
      </c>
      <c r="J1403" s="12" t="s">
        <v>14058</v>
      </c>
      <c r="K1403" s="12" t="s">
        <v>14059</v>
      </c>
      <c r="L1403" s="13" t="str">
        <f>HYPERLINK("http://asia.ensembl.org/Homo_sapiens/Gene/Summary?g=ENSG00000135966", "ENSG00000135966")</f>
        <v>ENSG00000135966</v>
      </c>
      <c r="M1403" s="12" t="s">
        <v>14060</v>
      </c>
      <c r="N1403" s="12" t="s">
        <v>14061</v>
      </c>
    </row>
    <row r="1404" spans="1:14">
      <c r="A1404" s="12" t="s">
        <v>6580</v>
      </c>
      <c r="B1404" s="8">
        <v>247.43416205514899</v>
      </c>
      <c r="C1404" s="12">
        <v>116.326274013442</v>
      </c>
      <c r="D1404" s="8">
        <v>1.0888677124142501</v>
      </c>
      <c r="E1404" s="12">
        <v>2.4198304356684401E-2</v>
      </c>
      <c r="F1404" s="8" t="s">
        <v>6581</v>
      </c>
      <c r="G1404" s="12" t="s">
        <v>6582</v>
      </c>
      <c r="H1404" s="12">
        <v>1</v>
      </c>
      <c r="I1404" s="13" t="str">
        <f>HYPERLINK("http://www.ncbi.nlm.nih.gov/gene/4791", "4791")</f>
        <v>4791</v>
      </c>
      <c r="J1404" s="12" t="s">
        <v>14218</v>
      </c>
      <c r="K1404" s="12" t="s">
        <v>14219</v>
      </c>
      <c r="L1404" s="13" t="str">
        <f>HYPERLINK("http://asia.ensembl.org/Homo_sapiens/Gene/Summary?g=ENSG00000077150", "ENSG00000077150")</f>
        <v>ENSG00000077150</v>
      </c>
      <c r="M1404" s="12" t="s">
        <v>14220</v>
      </c>
      <c r="N1404" s="12" t="s">
        <v>14221</v>
      </c>
    </row>
    <row r="1405" spans="1:14">
      <c r="A1405" s="12" t="s">
        <v>2739</v>
      </c>
      <c r="B1405" s="8">
        <v>6332.6770353237098</v>
      </c>
      <c r="C1405" s="12">
        <v>2977.4230174567701</v>
      </c>
      <c r="D1405" s="8">
        <v>1.0887512971819</v>
      </c>
      <c r="E1405" s="12">
        <v>9.4883246738863697E-3</v>
      </c>
      <c r="F1405" s="8" t="s">
        <v>2740</v>
      </c>
      <c r="G1405" s="12" t="s">
        <v>12764</v>
      </c>
      <c r="H1405" s="12">
        <v>1</v>
      </c>
      <c r="I1405" s="13" t="str">
        <f>HYPERLINK("http://www.ncbi.nlm.nih.gov/gene/1479", "1479")</f>
        <v>1479</v>
      </c>
      <c r="J1405" s="13" t="str">
        <f>HYPERLINK("http://www.ncbi.nlm.nih.gov/nuccore/NM_001326", "NM_001326")</f>
        <v>NM_001326</v>
      </c>
      <c r="K1405" s="12" t="s">
        <v>2741</v>
      </c>
      <c r="L1405" s="13" t="str">
        <f>HYPERLINK("http://asia.ensembl.org/Homo_sapiens/Gene/Summary?g=ENSG00000176102", "ENSG00000176102")</f>
        <v>ENSG00000176102</v>
      </c>
      <c r="M1405" s="12" t="s">
        <v>12765</v>
      </c>
      <c r="N1405" s="12" t="s">
        <v>12766</v>
      </c>
    </row>
    <row r="1406" spans="1:14">
      <c r="A1406" s="12" t="s">
        <v>10698</v>
      </c>
      <c r="B1406" s="8">
        <v>2209.9437929649798</v>
      </c>
      <c r="C1406" s="12">
        <v>1039.1456141777901</v>
      </c>
      <c r="D1406" s="8">
        <v>1.0886118455554801</v>
      </c>
      <c r="E1406" s="12">
        <v>3.9159139438940801E-3</v>
      </c>
      <c r="F1406" s="8" t="s">
        <v>2346</v>
      </c>
      <c r="G1406" s="12" t="s">
        <v>2347</v>
      </c>
      <c r="H1406" s="12">
        <v>1</v>
      </c>
      <c r="I1406" s="13" t="str">
        <f>HYPERLINK("http://www.ncbi.nlm.nih.gov/gene/51100", "51100")</f>
        <v>51100</v>
      </c>
      <c r="J1406" s="12" t="s">
        <v>15731</v>
      </c>
      <c r="K1406" s="12" t="s">
        <v>15732</v>
      </c>
      <c r="L1406" s="13" t="str">
        <f>HYPERLINK("http://asia.ensembl.org/Homo_sapiens/Gene/Summary?g=ENSG00000097033", "ENSG00000097033")</f>
        <v>ENSG00000097033</v>
      </c>
      <c r="M1406" s="12" t="s">
        <v>15733</v>
      </c>
      <c r="N1406" s="12" t="s">
        <v>15734</v>
      </c>
    </row>
    <row r="1407" spans="1:14">
      <c r="A1407" s="12" t="s">
        <v>10508</v>
      </c>
      <c r="B1407" s="8">
        <v>202.981023318708</v>
      </c>
      <c r="C1407" s="12">
        <v>95.4603324452371</v>
      </c>
      <c r="D1407" s="8">
        <v>1.0883715904922</v>
      </c>
      <c r="E1407" s="12">
        <v>3.0689533717923002E-3</v>
      </c>
      <c r="F1407" s="8" t="s">
        <v>6591</v>
      </c>
      <c r="G1407" s="12" t="s">
        <v>6592</v>
      </c>
      <c r="H1407" s="12">
        <v>1</v>
      </c>
      <c r="I1407" s="13" t="str">
        <f>HYPERLINK("http://www.ncbi.nlm.nih.gov/gene/154313", "154313")</f>
        <v>154313</v>
      </c>
      <c r="J1407" s="13" t="str">
        <f>HYPERLINK("http://www.ncbi.nlm.nih.gov/nuccore/NM_001031743", "NM_001031743")</f>
        <v>NM_001031743</v>
      </c>
      <c r="K1407" s="12" t="s">
        <v>6593</v>
      </c>
      <c r="L1407" s="13" t="str">
        <f>HYPERLINK("http://asia.ensembl.org/Homo_sapiens/Gene/Summary?g=ENSG00000272514", "ENSG00000272514")</f>
        <v>ENSG00000272514</v>
      </c>
      <c r="M1407" s="12" t="s">
        <v>15500</v>
      </c>
      <c r="N1407" s="12" t="s">
        <v>15501</v>
      </c>
    </row>
    <row r="1408" spans="1:14">
      <c r="A1408" s="12" t="s">
        <v>11124</v>
      </c>
      <c r="B1408" s="8">
        <v>236.798773653556</v>
      </c>
      <c r="C1408" s="12">
        <v>111.38100821115199</v>
      </c>
      <c r="D1408" s="8">
        <v>1.0881583525221099</v>
      </c>
      <c r="E1408" s="12">
        <v>8.6874272109671493E-3</v>
      </c>
      <c r="F1408" s="8" t="s">
        <v>38</v>
      </c>
      <c r="G1408" s="12" t="s">
        <v>38</v>
      </c>
      <c r="H1408" s="12">
        <v>1</v>
      </c>
      <c r="I1408" s="12" t="s">
        <v>38</v>
      </c>
      <c r="J1408" s="12" t="s">
        <v>38</v>
      </c>
      <c r="K1408" s="12" t="s">
        <v>38</v>
      </c>
      <c r="L1408" s="13" t="str">
        <f>HYPERLINK("http://asia.ensembl.org/Homo_sapiens/Gene/Summary?g=ENSG00000139329", "ENSG00000139329")</f>
        <v>ENSG00000139329</v>
      </c>
      <c r="M1408" s="12" t="s">
        <v>11125</v>
      </c>
      <c r="N1408" s="12" t="s">
        <v>5547</v>
      </c>
    </row>
    <row r="1409" spans="1:14">
      <c r="A1409" s="12" t="s">
        <v>10712</v>
      </c>
      <c r="B1409" s="8">
        <v>2131.2046906134001</v>
      </c>
      <c r="C1409" s="12">
        <v>1002.46447278215</v>
      </c>
      <c r="D1409" s="8">
        <v>1.0881180541322499</v>
      </c>
      <c r="E1409" s="12">
        <v>7.0086043854192199E-3</v>
      </c>
      <c r="F1409" s="8" t="s">
        <v>7296</v>
      </c>
      <c r="G1409" s="12" t="s">
        <v>7297</v>
      </c>
      <c r="H1409" s="12">
        <v>1</v>
      </c>
      <c r="I1409" s="13" t="str">
        <f>HYPERLINK("http://www.ncbi.nlm.nih.gov/gene/11011", "11011")</f>
        <v>11011</v>
      </c>
      <c r="J1409" s="13" t="str">
        <f>HYPERLINK("http://www.ncbi.nlm.nih.gov/nuccore/NM_006852", "NM_006852")</f>
        <v>NM_006852</v>
      </c>
      <c r="K1409" s="12" t="s">
        <v>7298</v>
      </c>
      <c r="L1409" s="13" t="str">
        <f>HYPERLINK("http://asia.ensembl.org/Homo_sapiens/Gene/Summary?g=ENSG00000146872", "ENSG00000146872")</f>
        <v>ENSG00000146872</v>
      </c>
      <c r="M1409" s="12" t="s">
        <v>14390</v>
      </c>
      <c r="N1409" s="12" t="s">
        <v>14391</v>
      </c>
    </row>
    <row r="1410" spans="1:14">
      <c r="A1410" s="12" t="s">
        <v>11008</v>
      </c>
      <c r="B1410" s="8">
        <v>21594.5847965717</v>
      </c>
      <c r="C1410" s="12">
        <v>10158.8236576457</v>
      </c>
      <c r="D1410" s="8">
        <v>1.0879362231088101</v>
      </c>
      <c r="E1410" s="12">
        <v>9.5547492697527908E-3</v>
      </c>
      <c r="F1410" s="8" t="s">
        <v>11009</v>
      </c>
      <c r="G1410" s="12" t="s">
        <v>15961</v>
      </c>
      <c r="H1410" s="12">
        <v>1</v>
      </c>
      <c r="I1410" s="13" t="str">
        <f>HYPERLINK("http://www.ncbi.nlm.nih.gov/gene/64853", "64853")</f>
        <v>64853</v>
      </c>
      <c r="J1410" s="13" t="str">
        <f>HYPERLINK("http://www.ncbi.nlm.nih.gov/nuccore/NM_022831", "NM_022831")</f>
        <v>NM_022831</v>
      </c>
      <c r="K1410" s="12" t="s">
        <v>11010</v>
      </c>
      <c r="L1410" s="13" t="str">
        <f>HYPERLINK("http://asia.ensembl.org/Homo_sapiens/Gene/Summary?g=ENSG00000186063", "ENSG00000186063")</f>
        <v>ENSG00000186063</v>
      </c>
      <c r="M1410" s="12" t="s">
        <v>15962</v>
      </c>
      <c r="N1410" s="12" t="s">
        <v>15963</v>
      </c>
    </row>
    <row r="1411" spans="1:14">
      <c r="A1411" s="12" t="s">
        <v>10748</v>
      </c>
      <c r="B1411" s="8">
        <v>456.24467825270102</v>
      </c>
      <c r="C1411" s="12">
        <v>214.74857175779999</v>
      </c>
      <c r="D1411" s="8">
        <v>1.08715919466682</v>
      </c>
      <c r="E1411" s="12">
        <v>4.7438763307461402E-5</v>
      </c>
      <c r="F1411" s="8" t="s">
        <v>4393</v>
      </c>
      <c r="G1411" s="12" t="s">
        <v>15814</v>
      </c>
      <c r="H1411" s="12">
        <v>1</v>
      </c>
      <c r="I1411" s="13" t="str">
        <f>HYPERLINK("http://www.ncbi.nlm.nih.gov/gene/7046", "7046")</f>
        <v>7046</v>
      </c>
      <c r="J1411" s="12" t="s">
        <v>15815</v>
      </c>
      <c r="K1411" s="12" t="s">
        <v>15816</v>
      </c>
      <c r="L1411" s="13" t="str">
        <f>HYPERLINK("http://asia.ensembl.org/Homo_sapiens/Gene/Summary?g=ENSG00000106799", "ENSG00000106799")</f>
        <v>ENSG00000106799</v>
      </c>
      <c r="M1411" s="12" t="s">
        <v>15817</v>
      </c>
      <c r="N1411" s="12" t="s">
        <v>15818</v>
      </c>
    </row>
    <row r="1412" spans="1:14">
      <c r="A1412" s="12" t="s">
        <v>9509</v>
      </c>
      <c r="B1412" s="8">
        <v>2305.4949005171702</v>
      </c>
      <c r="C1412" s="12">
        <v>1085.3664135162201</v>
      </c>
      <c r="D1412" s="8">
        <v>1.08689430415733</v>
      </c>
      <c r="E1412" s="12">
        <v>4.45566207271868E-3</v>
      </c>
      <c r="F1412" s="8" t="s">
        <v>9510</v>
      </c>
      <c r="G1412" s="12" t="s">
        <v>9511</v>
      </c>
      <c r="H1412" s="12">
        <v>1</v>
      </c>
      <c r="I1412" s="13" t="str">
        <f>HYPERLINK("http://www.ncbi.nlm.nih.gov/gene/55623", "55623")</f>
        <v>55623</v>
      </c>
      <c r="J1412" s="13" t="str">
        <f>HYPERLINK("http://www.ncbi.nlm.nih.gov/nuccore/NM_017736", "NM_017736")</f>
        <v>NM_017736</v>
      </c>
      <c r="K1412" s="12" t="s">
        <v>9512</v>
      </c>
      <c r="L1412" s="13" t="str">
        <f>HYPERLINK("http://asia.ensembl.org/Homo_sapiens/Gene/Summary?g=ENSG00000066654", "ENSG00000066654")</f>
        <v>ENSG00000066654</v>
      </c>
      <c r="M1412" s="12" t="s">
        <v>15060</v>
      </c>
      <c r="N1412" s="12" t="s">
        <v>15061</v>
      </c>
    </row>
    <row r="1413" spans="1:14">
      <c r="A1413" s="12" t="s">
        <v>6141</v>
      </c>
      <c r="B1413" s="8">
        <v>374.85156826421701</v>
      </c>
      <c r="C1413" s="12">
        <v>176.551575049766</v>
      </c>
      <c r="D1413" s="8">
        <v>1.0862297462444399</v>
      </c>
      <c r="E1413" s="12">
        <v>9.0330245700355593E-3</v>
      </c>
      <c r="F1413" s="8" t="s">
        <v>6142</v>
      </c>
      <c r="G1413" s="12" t="s">
        <v>6143</v>
      </c>
      <c r="H1413" s="12">
        <v>1</v>
      </c>
      <c r="I1413" s="13" t="str">
        <f>HYPERLINK("http://www.ncbi.nlm.nih.gov/gene/23443", "23443")</f>
        <v>23443</v>
      </c>
      <c r="J1413" s="12" t="s">
        <v>14064</v>
      </c>
      <c r="K1413" s="12" t="s">
        <v>14065</v>
      </c>
      <c r="L1413" s="13" t="str">
        <f>HYPERLINK("http://asia.ensembl.org/Homo_sapiens/Gene/Summary?g=ENSG00000117620", "ENSG00000117620")</f>
        <v>ENSG00000117620</v>
      </c>
      <c r="M1413" s="12" t="s">
        <v>14066</v>
      </c>
      <c r="N1413" s="12" t="s">
        <v>14067</v>
      </c>
    </row>
    <row r="1414" spans="1:14">
      <c r="A1414" s="12" t="s">
        <v>5154</v>
      </c>
      <c r="B1414" s="8">
        <v>132.32069052455799</v>
      </c>
      <c r="C1414" s="12">
        <v>62.354072153388202</v>
      </c>
      <c r="D1414" s="8">
        <v>1.08548298220734</v>
      </c>
      <c r="E1414" s="12">
        <v>4.1626571732291499E-2</v>
      </c>
      <c r="F1414" s="8" t="s">
        <v>5155</v>
      </c>
      <c r="G1414" s="12" t="s">
        <v>5156</v>
      </c>
      <c r="H1414" s="12">
        <v>1</v>
      </c>
      <c r="I1414" s="13" t="str">
        <f>HYPERLINK("http://www.ncbi.nlm.nih.gov/gene/53335", "53335")</f>
        <v>53335</v>
      </c>
      <c r="J1414" s="13" t="str">
        <f>HYPERLINK("http://www.ncbi.nlm.nih.gov/nuccore/NM_022893", "NM_022893")</f>
        <v>NM_022893</v>
      </c>
      <c r="K1414" s="12" t="s">
        <v>5157</v>
      </c>
      <c r="L1414" s="13" t="str">
        <f>HYPERLINK("http://asia.ensembl.org/Homo_sapiens/Gene/Summary?g=ENSG00000119866", "ENSG00000119866")</f>
        <v>ENSG00000119866</v>
      </c>
      <c r="M1414" s="12" t="s">
        <v>13614</v>
      </c>
      <c r="N1414" s="12" t="s">
        <v>13615</v>
      </c>
    </row>
    <row r="1415" spans="1:14">
      <c r="A1415" s="12" t="s">
        <v>11287</v>
      </c>
      <c r="B1415" s="8">
        <v>4161.5519997633</v>
      </c>
      <c r="C1415" s="12">
        <v>1961.6017586742701</v>
      </c>
      <c r="D1415" s="8">
        <v>1.0850894865440099</v>
      </c>
      <c r="E1415" s="12">
        <v>1.7509238186827201E-3</v>
      </c>
      <c r="F1415" s="8" t="s">
        <v>38</v>
      </c>
      <c r="G1415" s="12" t="s">
        <v>38</v>
      </c>
      <c r="H1415" s="12">
        <v>1</v>
      </c>
      <c r="I1415" s="12" t="s">
        <v>38</v>
      </c>
      <c r="J1415" s="12" t="s">
        <v>38</v>
      </c>
      <c r="K1415" s="12" t="s">
        <v>38</v>
      </c>
      <c r="L1415" s="13" t="str">
        <f>HYPERLINK("http://asia.ensembl.org/Homo_sapiens/Gene/Summary?g=ENSG00000169251", "ENSG00000169251")</f>
        <v>ENSG00000169251</v>
      </c>
      <c r="M1415" s="12" t="s">
        <v>11288</v>
      </c>
      <c r="N1415" s="12" t="s">
        <v>16091</v>
      </c>
    </row>
    <row r="1416" spans="1:14">
      <c r="A1416" s="12" t="s">
        <v>8670</v>
      </c>
      <c r="B1416" s="8">
        <v>679.72192180793002</v>
      </c>
      <c r="C1416" s="12">
        <v>320.52153759484901</v>
      </c>
      <c r="D1416" s="8">
        <v>1.0845233494568001</v>
      </c>
      <c r="E1416" s="12">
        <v>2.40829671702893E-2</v>
      </c>
      <c r="F1416" s="8" t="s">
        <v>8671</v>
      </c>
      <c r="G1416" s="12" t="s">
        <v>8672</v>
      </c>
      <c r="H1416" s="12">
        <v>1</v>
      </c>
      <c r="I1416" s="13" t="str">
        <f>HYPERLINK("http://www.ncbi.nlm.nih.gov/gene/574029", "574029")</f>
        <v>574029</v>
      </c>
      <c r="J1416" s="13" t="str">
        <f>HYPERLINK("http://www.ncbi.nlm.nih.gov/nuccore/NR_002834", "NR_002834")</f>
        <v>NR_002834</v>
      </c>
      <c r="K1416" s="12" t="s">
        <v>199</v>
      </c>
      <c r="L1416" s="12" t="s">
        <v>38</v>
      </c>
      <c r="M1416" s="12" t="s">
        <v>38</v>
      </c>
      <c r="N1416" s="12" t="s">
        <v>38</v>
      </c>
    </row>
    <row r="1417" spans="1:14">
      <c r="A1417" s="12" t="s">
        <v>2417</v>
      </c>
      <c r="B1417" s="8">
        <v>651.45261816025197</v>
      </c>
      <c r="C1417" s="12">
        <v>307.19528330127298</v>
      </c>
      <c r="D1417" s="8">
        <v>1.0845041866698599</v>
      </c>
      <c r="E1417" s="12">
        <v>7.2145859210067803E-3</v>
      </c>
      <c r="F1417" s="8" t="s">
        <v>2418</v>
      </c>
      <c r="G1417" s="12" t="s">
        <v>12628</v>
      </c>
      <c r="H1417" s="12">
        <v>1</v>
      </c>
      <c r="I1417" s="13" t="str">
        <f>HYPERLINK("http://www.ncbi.nlm.nih.gov/gene/114822", "114822")</f>
        <v>114822</v>
      </c>
      <c r="J1417" s="13" t="str">
        <f>HYPERLINK("http://www.ncbi.nlm.nih.gov/nuccore/NM_052924", "NM_052924")</f>
        <v>NM_052924</v>
      </c>
      <c r="K1417" s="12" t="s">
        <v>2419</v>
      </c>
      <c r="L1417" s="13" t="str">
        <f>HYPERLINK("http://asia.ensembl.org/Homo_sapiens/Gene/Summary?g=ENSG00000158106", "ENSG00000158106")</f>
        <v>ENSG00000158106</v>
      </c>
      <c r="M1417" s="12" t="s">
        <v>12629</v>
      </c>
      <c r="N1417" s="12" t="s">
        <v>12630</v>
      </c>
    </row>
    <row r="1418" spans="1:14">
      <c r="A1418" s="12" t="s">
        <v>10599</v>
      </c>
      <c r="B1418" s="8">
        <v>477.68092810264898</v>
      </c>
      <c r="C1418" s="12">
        <v>225.38560000364001</v>
      </c>
      <c r="D1418" s="8">
        <v>1.08365193292895</v>
      </c>
      <c r="E1418" s="12">
        <v>9.9148826933963003E-3</v>
      </c>
      <c r="F1418" s="8" t="s">
        <v>6161</v>
      </c>
      <c r="G1418" s="12" t="s">
        <v>6162</v>
      </c>
      <c r="H1418" s="12">
        <v>1</v>
      </c>
      <c r="I1418" s="13" t="str">
        <f>HYPERLINK("http://www.ncbi.nlm.nih.gov/gene/79776", "79776")</f>
        <v>79776</v>
      </c>
      <c r="J1418" s="13" t="str">
        <f>HYPERLINK("http://www.ncbi.nlm.nih.gov/nuccore/NM_024721", "NM_024721")</f>
        <v>NM_024721</v>
      </c>
      <c r="K1418" s="12" t="s">
        <v>6163</v>
      </c>
      <c r="L1418" s="13" t="str">
        <f>HYPERLINK("http://asia.ensembl.org/Homo_sapiens/Gene/Summary?g=ENSG00000091656", "ENSG00000091656")</f>
        <v>ENSG00000091656</v>
      </c>
      <c r="M1418" s="12" t="s">
        <v>15614</v>
      </c>
      <c r="N1418" s="12" t="s">
        <v>15615</v>
      </c>
    </row>
    <row r="1419" spans="1:14">
      <c r="A1419" s="12" t="s">
        <v>2430</v>
      </c>
      <c r="B1419" s="8">
        <v>565.31607635190005</v>
      </c>
      <c r="C1419" s="12">
        <v>266.77651399078798</v>
      </c>
      <c r="D1419" s="8">
        <v>1.0834260620432601</v>
      </c>
      <c r="E1419" s="12">
        <v>6.8312072715138198E-3</v>
      </c>
      <c r="F1419" s="8" t="s">
        <v>2431</v>
      </c>
      <c r="G1419" s="12" t="s">
        <v>12631</v>
      </c>
      <c r="H1419" s="12">
        <v>1</v>
      </c>
      <c r="I1419" s="13" t="str">
        <f>HYPERLINK("http://www.ncbi.nlm.nih.gov/gene/23077", "23077")</f>
        <v>23077</v>
      </c>
      <c r="J1419" s="13" t="str">
        <f>HYPERLINK("http://www.ncbi.nlm.nih.gov/nuccore/NM_015057", "NM_015057")</f>
        <v>NM_015057</v>
      </c>
      <c r="K1419" s="12" t="s">
        <v>2432</v>
      </c>
      <c r="L1419" s="13" t="str">
        <f>HYPERLINK("http://asia.ensembl.org/Homo_sapiens/Gene/Summary?g=ENSG00000005810", "ENSG00000005810")</f>
        <v>ENSG00000005810</v>
      </c>
      <c r="M1419" s="12" t="s">
        <v>12632</v>
      </c>
      <c r="N1419" s="12" t="s">
        <v>12633</v>
      </c>
    </row>
    <row r="1420" spans="1:14">
      <c r="A1420" s="12" t="s">
        <v>9833</v>
      </c>
      <c r="B1420" s="8">
        <v>1654.6044550392501</v>
      </c>
      <c r="C1420" s="12">
        <v>780.83285250500205</v>
      </c>
      <c r="D1420" s="8">
        <v>1.0834007129735399</v>
      </c>
      <c r="E1420" s="12">
        <v>1.67352057134582E-3</v>
      </c>
      <c r="F1420" s="8" t="s">
        <v>4760</v>
      </c>
      <c r="G1420" s="12" t="s">
        <v>4761</v>
      </c>
      <c r="H1420" s="12">
        <v>1</v>
      </c>
      <c r="I1420" s="13" t="str">
        <f>HYPERLINK("http://www.ncbi.nlm.nih.gov/gene/55193", "55193")</f>
        <v>55193</v>
      </c>
      <c r="J1420" s="13" t="str">
        <f>HYPERLINK("http://www.ncbi.nlm.nih.gov/nuccore/NM_018313", "NM_018313")</f>
        <v>NM_018313</v>
      </c>
      <c r="K1420" s="12" t="s">
        <v>4762</v>
      </c>
      <c r="L1420" s="13" t="str">
        <f>HYPERLINK("http://asia.ensembl.org/Homo_sapiens/Gene/Summary?g=ENSG00000163939", "ENSG00000163939")</f>
        <v>ENSG00000163939</v>
      </c>
      <c r="M1420" s="12" t="s">
        <v>15188</v>
      </c>
      <c r="N1420" s="12" t="s">
        <v>15189</v>
      </c>
    </row>
    <row r="1421" spans="1:14">
      <c r="A1421" s="12" t="s">
        <v>11067</v>
      </c>
      <c r="B1421" s="8">
        <v>171.91900369574799</v>
      </c>
      <c r="C1421" s="12">
        <v>81.132972888171906</v>
      </c>
      <c r="D1421" s="8">
        <v>1.0833687692427401</v>
      </c>
      <c r="E1421" s="12">
        <v>4.0722645363441799E-2</v>
      </c>
      <c r="F1421" s="8" t="s">
        <v>11068</v>
      </c>
      <c r="G1421" s="12" t="s">
        <v>15966</v>
      </c>
      <c r="H1421" s="12">
        <v>1</v>
      </c>
      <c r="I1421" s="13" t="str">
        <f>HYPERLINK("http://www.ncbi.nlm.nih.gov/gene/389125", "389125")</f>
        <v>389125</v>
      </c>
      <c r="J1421" s="13" t="str">
        <f>HYPERLINK("http://www.ncbi.nlm.nih.gov/nuccore/NM_205853", "NM_205853")</f>
        <v>NM_205853</v>
      </c>
      <c r="K1421" s="12" t="s">
        <v>11069</v>
      </c>
      <c r="L1421" s="13" t="str">
        <f>HYPERLINK("http://asia.ensembl.org/Homo_sapiens/Gene/Summary?g=ENSG00000272573", "ENSG00000272573")</f>
        <v>ENSG00000272573</v>
      </c>
      <c r="M1421" s="12" t="s">
        <v>15967</v>
      </c>
      <c r="N1421" s="12" t="s">
        <v>15968</v>
      </c>
    </row>
    <row r="1422" spans="1:14">
      <c r="A1422" s="12" t="s">
        <v>10593</v>
      </c>
      <c r="B1422" s="8">
        <v>4696.7094793220203</v>
      </c>
      <c r="C1422" s="12">
        <v>2216.6461900737099</v>
      </c>
      <c r="D1422" s="8">
        <v>1.0832718438508799</v>
      </c>
      <c r="E1422" s="12">
        <v>1.17948661267414E-2</v>
      </c>
      <c r="F1422" s="8" t="s">
        <v>6552</v>
      </c>
      <c r="G1422" s="12" t="s">
        <v>6553</v>
      </c>
      <c r="H1422" s="12">
        <v>1</v>
      </c>
      <c r="I1422" s="13" t="str">
        <f>HYPERLINK("http://www.ncbi.nlm.nih.gov/gene/57621", "57621")</f>
        <v>57621</v>
      </c>
      <c r="J1422" s="13" t="str">
        <f>HYPERLINK("http://www.ncbi.nlm.nih.gov/nuccore/NM_020861", "NM_020861")</f>
        <v>NM_020861</v>
      </c>
      <c r="K1422" s="12" t="s">
        <v>6554</v>
      </c>
      <c r="L1422" s="13" t="str">
        <f>HYPERLINK("http://asia.ensembl.org/Homo_sapiens/Gene/Summary?g=ENSG00000181472", "ENSG00000181472")</f>
        <v>ENSG00000181472</v>
      </c>
      <c r="M1422" s="12" t="s">
        <v>6555</v>
      </c>
      <c r="N1422" s="12" t="s">
        <v>6556</v>
      </c>
    </row>
    <row r="1423" spans="1:14">
      <c r="A1423" s="12" t="s">
        <v>1335</v>
      </c>
      <c r="B1423" s="8">
        <v>150.57408129656</v>
      </c>
      <c r="C1423" s="12">
        <v>71.068760810536006</v>
      </c>
      <c r="D1423" s="8">
        <v>1.0831860074778199</v>
      </c>
      <c r="E1423" s="12">
        <v>6.1284853068303297E-3</v>
      </c>
      <c r="F1423" s="8" t="s">
        <v>1336</v>
      </c>
      <c r="G1423" s="12" t="s">
        <v>12307</v>
      </c>
      <c r="H1423" s="12">
        <v>1</v>
      </c>
      <c r="I1423" s="13" t="str">
        <f>HYPERLINK("http://www.ncbi.nlm.nih.gov/gene/28968", "28968")</f>
        <v>28968</v>
      </c>
      <c r="J1423" s="13" t="str">
        <f>HYPERLINK("http://www.ncbi.nlm.nih.gov/nuccore/NM_014037", "NM_014037")</f>
        <v>NM_014037</v>
      </c>
      <c r="K1423" s="12" t="s">
        <v>1337</v>
      </c>
      <c r="L1423" s="13" t="str">
        <f>HYPERLINK("http://asia.ensembl.org/Homo_sapiens/Gene/Summary?g=ENSG00000063127", "ENSG00000063127")</f>
        <v>ENSG00000063127</v>
      </c>
      <c r="M1423" s="12" t="s">
        <v>12308</v>
      </c>
      <c r="N1423" s="12" t="s">
        <v>12309</v>
      </c>
    </row>
    <row r="1424" spans="1:14">
      <c r="A1424" s="12" t="s">
        <v>2840</v>
      </c>
      <c r="B1424" s="8">
        <v>110.788895711553</v>
      </c>
      <c r="C1424" s="12">
        <v>52.297367721048097</v>
      </c>
      <c r="D1424" s="8">
        <v>1.08300305001876</v>
      </c>
      <c r="E1424" s="12">
        <v>2.3936406227219602E-3</v>
      </c>
      <c r="F1424" s="8" t="s">
        <v>2841</v>
      </c>
      <c r="G1424" s="12" t="s">
        <v>2842</v>
      </c>
      <c r="H1424" s="12">
        <v>1</v>
      </c>
      <c r="I1424" s="13" t="str">
        <f>HYPERLINK("http://www.ncbi.nlm.nih.gov/gene/84677", "84677")</f>
        <v>84677</v>
      </c>
      <c r="J1424" s="12" t="s">
        <v>12795</v>
      </c>
      <c r="K1424" s="12" t="s">
        <v>12796</v>
      </c>
      <c r="L1424" s="13" t="str">
        <f>HYPERLINK("http://asia.ensembl.org/Homo_sapiens/Gene/Summary?g=ENSG00000198054", "ENSG00000198054")</f>
        <v>ENSG00000198054</v>
      </c>
      <c r="M1424" s="12" t="s">
        <v>12797</v>
      </c>
      <c r="N1424" s="12" t="s">
        <v>12798</v>
      </c>
    </row>
    <row r="1425" spans="1:14">
      <c r="A1425" s="12" t="s">
        <v>876</v>
      </c>
      <c r="B1425" s="8">
        <v>2472.3455419910101</v>
      </c>
      <c r="C1425" s="12">
        <v>1167.13401039421</v>
      </c>
      <c r="D1425" s="8">
        <v>1.08291017158143</v>
      </c>
      <c r="E1425" s="12">
        <v>1.08097189031445E-2</v>
      </c>
      <c r="F1425" s="8" t="s">
        <v>877</v>
      </c>
      <c r="G1425" s="12" t="s">
        <v>12151</v>
      </c>
      <c r="H1425" s="12">
        <v>1</v>
      </c>
      <c r="I1425" s="13" t="str">
        <f>HYPERLINK("http://www.ncbi.nlm.nih.gov/gene/6874", "6874")</f>
        <v>6874</v>
      </c>
      <c r="J1425" s="13" t="str">
        <f>HYPERLINK("http://www.ncbi.nlm.nih.gov/nuccore/NM_003185", "NM_003185")</f>
        <v>NM_003185</v>
      </c>
      <c r="K1425" s="12" t="s">
        <v>878</v>
      </c>
      <c r="L1425" s="13" t="str">
        <f>HYPERLINK("http://asia.ensembl.org/Homo_sapiens/Gene/Summary?g=ENSG00000130699", "ENSG00000130699")</f>
        <v>ENSG00000130699</v>
      </c>
      <c r="M1425" s="12" t="s">
        <v>12152</v>
      </c>
      <c r="N1425" s="12" t="s">
        <v>12153</v>
      </c>
    </row>
    <row r="1426" spans="1:14">
      <c r="A1426" s="12" t="s">
        <v>11155</v>
      </c>
      <c r="B1426" s="8">
        <v>406.15337078540603</v>
      </c>
      <c r="C1426" s="12">
        <v>191.73672740678401</v>
      </c>
      <c r="D1426" s="8">
        <v>1.08289790428475</v>
      </c>
      <c r="E1426" s="12">
        <v>4.7873618403627E-3</v>
      </c>
      <c r="F1426" s="8" t="s">
        <v>38</v>
      </c>
      <c r="G1426" s="12" t="s">
        <v>38</v>
      </c>
      <c r="H1426" s="12">
        <v>1</v>
      </c>
      <c r="I1426" s="12" t="s">
        <v>38</v>
      </c>
      <c r="J1426" s="12" t="s">
        <v>38</v>
      </c>
      <c r="K1426" s="12" t="s">
        <v>38</v>
      </c>
      <c r="L1426" s="13" t="str">
        <f>HYPERLINK("http://asia.ensembl.org/Homo_sapiens/Gene/Summary?g=ENSG00000110066", "ENSG00000110066")</f>
        <v>ENSG00000110066</v>
      </c>
      <c r="M1426" s="12" t="s">
        <v>11156</v>
      </c>
      <c r="N1426" s="12" t="s">
        <v>13194</v>
      </c>
    </row>
    <row r="1427" spans="1:14">
      <c r="A1427" s="12" t="s">
        <v>9374</v>
      </c>
      <c r="B1427" s="8">
        <v>645.90239513449399</v>
      </c>
      <c r="C1427" s="12">
        <v>304.91891542807201</v>
      </c>
      <c r="D1427" s="8">
        <v>1.0828905203516801</v>
      </c>
      <c r="E1427" s="12">
        <v>3.98390158064773E-2</v>
      </c>
      <c r="F1427" s="8" t="s">
        <v>9375</v>
      </c>
      <c r="G1427" s="12" t="s">
        <v>15029</v>
      </c>
      <c r="H1427" s="12">
        <v>1</v>
      </c>
      <c r="I1427" s="13" t="str">
        <f>HYPERLINK("http://www.ncbi.nlm.nih.gov/gene/254783", "254783")</f>
        <v>254783</v>
      </c>
      <c r="J1427" s="13" t="str">
        <f>HYPERLINK("http://www.ncbi.nlm.nih.gov/nuccore/NM_001005490", "NM_001005490")</f>
        <v>NM_001005490</v>
      </c>
      <c r="K1427" s="12" t="s">
        <v>9376</v>
      </c>
      <c r="L1427" s="13" t="str">
        <f>HYPERLINK("http://asia.ensembl.org/Homo_sapiens/Gene/Summary?g=ENSG00000197706", "ENSG00000197706")</f>
        <v>ENSG00000197706</v>
      </c>
      <c r="M1427" s="12" t="s">
        <v>9377</v>
      </c>
      <c r="N1427" s="12" t="s">
        <v>9378</v>
      </c>
    </row>
    <row r="1428" spans="1:14">
      <c r="A1428" s="12" t="s">
        <v>5678</v>
      </c>
      <c r="B1428" s="8">
        <v>443.35629313907702</v>
      </c>
      <c r="C1428" s="12">
        <v>209.351700867056</v>
      </c>
      <c r="D1428" s="8">
        <v>1.0825379145157099</v>
      </c>
      <c r="E1428" s="12">
        <v>3.4715170633569299E-3</v>
      </c>
      <c r="F1428" s="8" t="s">
        <v>5679</v>
      </c>
      <c r="G1428" s="12" t="s">
        <v>5680</v>
      </c>
      <c r="H1428" s="12">
        <v>1</v>
      </c>
      <c r="I1428" s="13" t="str">
        <f>HYPERLINK("http://www.ncbi.nlm.nih.gov/gene/4205", "4205")</f>
        <v>4205</v>
      </c>
      <c r="J1428" s="12" t="s">
        <v>13873</v>
      </c>
      <c r="K1428" s="12" t="s">
        <v>13874</v>
      </c>
      <c r="L1428" s="13" t="str">
        <f>HYPERLINK("http://asia.ensembl.org/Homo_sapiens/Gene/Summary?g=ENSG00000068305", "ENSG00000068305")</f>
        <v>ENSG00000068305</v>
      </c>
      <c r="M1428" s="12" t="s">
        <v>13875</v>
      </c>
      <c r="N1428" s="12" t="s">
        <v>13876</v>
      </c>
    </row>
    <row r="1429" spans="1:14">
      <c r="A1429" s="12" t="s">
        <v>2227</v>
      </c>
      <c r="B1429" s="8">
        <v>1639.83486255094</v>
      </c>
      <c r="C1429" s="12">
        <v>774.431337533278</v>
      </c>
      <c r="D1429" s="8">
        <v>1.0823412995435699</v>
      </c>
      <c r="E1429" s="12">
        <v>6.5961283815773996E-3</v>
      </c>
      <c r="F1429" s="8" t="s">
        <v>2228</v>
      </c>
      <c r="G1429" s="12" t="s">
        <v>2229</v>
      </c>
      <c r="H1429" s="12">
        <v>1</v>
      </c>
      <c r="I1429" s="13" t="str">
        <f>HYPERLINK("http://www.ncbi.nlm.nih.gov/gene/9525", "9525")</f>
        <v>9525</v>
      </c>
      <c r="J1429" s="13" t="str">
        <f>HYPERLINK("http://www.ncbi.nlm.nih.gov/nuccore/NM_004869", "NM_004869")</f>
        <v>NM_004869</v>
      </c>
      <c r="K1429" s="12" t="s">
        <v>2230</v>
      </c>
      <c r="L1429" s="13" t="str">
        <f>HYPERLINK("http://asia.ensembl.org/Homo_sapiens/Gene/Summary?g=ENSG00000119541", "ENSG00000119541")</f>
        <v>ENSG00000119541</v>
      </c>
      <c r="M1429" s="12" t="s">
        <v>12570</v>
      </c>
      <c r="N1429" s="12" t="s">
        <v>12571</v>
      </c>
    </row>
    <row r="1430" spans="1:14">
      <c r="A1430" s="12" t="s">
        <v>10616</v>
      </c>
      <c r="B1430" s="8">
        <v>436.924397796422</v>
      </c>
      <c r="C1430" s="12">
        <v>206.35550341011299</v>
      </c>
      <c r="D1430" s="8">
        <v>1.08225175302055</v>
      </c>
      <c r="E1430" s="12">
        <v>8.7129366687798901E-3</v>
      </c>
      <c r="F1430" s="8" t="s">
        <v>8977</v>
      </c>
      <c r="G1430" s="12" t="s">
        <v>8978</v>
      </c>
      <c r="H1430" s="12">
        <v>1</v>
      </c>
      <c r="I1430" s="13" t="str">
        <f>HYPERLINK("http://www.ncbi.nlm.nih.gov/gene/9716", "9716")</f>
        <v>9716</v>
      </c>
      <c r="J1430" s="13" t="str">
        <f>HYPERLINK("http://www.ncbi.nlm.nih.gov/nuccore/NM_014691", "NM_014691")</f>
        <v>NM_014691</v>
      </c>
      <c r="K1430" s="12" t="s">
        <v>8979</v>
      </c>
      <c r="L1430" s="13" t="str">
        <f>HYPERLINK("http://asia.ensembl.org/Homo_sapiens/Gene/Summary?g=ENSG00000021776", "ENSG00000021776")</f>
        <v>ENSG00000021776</v>
      </c>
      <c r="M1430" s="12" t="s">
        <v>15635</v>
      </c>
      <c r="N1430" s="12" t="s">
        <v>15636</v>
      </c>
    </row>
    <row r="1431" spans="1:14">
      <c r="A1431" s="12" t="s">
        <v>8336</v>
      </c>
      <c r="B1431" s="8">
        <v>5332.7029313009298</v>
      </c>
      <c r="C1431" s="12">
        <v>2519.0014545503</v>
      </c>
      <c r="D1431" s="8">
        <v>1.0820150069665799</v>
      </c>
      <c r="E1431" s="12">
        <v>2.0500392675250698E-2</v>
      </c>
      <c r="F1431" s="8" t="s">
        <v>618</v>
      </c>
      <c r="G1431" s="12" t="s">
        <v>619</v>
      </c>
      <c r="H1431" s="12">
        <v>1</v>
      </c>
      <c r="I1431" s="13" t="str">
        <f>HYPERLINK("http://www.ncbi.nlm.nih.gov/gene/8520", "8520")</f>
        <v>8520</v>
      </c>
      <c r="J1431" s="12" t="s">
        <v>14717</v>
      </c>
      <c r="K1431" s="12" t="s">
        <v>14718</v>
      </c>
      <c r="L1431" s="13" t="str">
        <f>HYPERLINK("http://asia.ensembl.org/Homo_sapiens/Gene/Summary?g=ENSG00000128708", "ENSG00000128708")</f>
        <v>ENSG00000128708</v>
      </c>
      <c r="M1431" s="12" t="s">
        <v>14719</v>
      </c>
      <c r="N1431" s="12" t="s">
        <v>14720</v>
      </c>
    </row>
    <row r="1432" spans="1:14">
      <c r="A1432" s="12" t="s">
        <v>8112</v>
      </c>
      <c r="B1432" s="8">
        <v>195.56743396162301</v>
      </c>
      <c r="C1432" s="12">
        <v>92.387468602441601</v>
      </c>
      <c r="D1432" s="8">
        <v>1.08189706813799</v>
      </c>
      <c r="E1432" s="12">
        <v>2.5662724515067101E-2</v>
      </c>
      <c r="F1432" s="8" t="s">
        <v>8113</v>
      </c>
      <c r="G1432" s="12" t="s">
        <v>14670</v>
      </c>
      <c r="H1432" s="12">
        <v>1</v>
      </c>
      <c r="I1432" s="13" t="str">
        <f>HYPERLINK("http://www.ncbi.nlm.nih.gov/gene/6801", "6801")</f>
        <v>6801</v>
      </c>
      <c r="J1432" s="13" t="str">
        <f>HYPERLINK("http://www.ncbi.nlm.nih.gov/nuccore/NM_003162", "NM_003162")</f>
        <v>NM_003162</v>
      </c>
      <c r="K1432" s="12" t="s">
        <v>8114</v>
      </c>
      <c r="L1432" s="13" t="str">
        <f>HYPERLINK("http://asia.ensembl.org/Homo_sapiens/Gene/Summary?g=ENSG00000115808", "ENSG00000115808")</f>
        <v>ENSG00000115808</v>
      </c>
      <c r="M1432" s="12" t="s">
        <v>14671</v>
      </c>
      <c r="N1432" s="12" t="s">
        <v>14672</v>
      </c>
    </row>
    <row r="1433" spans="1:14">
      <c r="A1433" s="12" t="s">
        <v>3201</v>
      </c>
      <c r="B1433" s="8">
        <v>912.38155288093697</v>
      </c>
      <c r="C1433" s="12">
        <v>431.10935867322701</v>
      </c>
      <c r="D1433" s="8">
        <v>1.081583396219</v>
      </c>
      <c r="E1433" s="12">
        <v>1.4345484522666299E-2</v>
      </c>
      <c r="F1433" s="8" t="s">
        <v>3202</v>
      </c>
      <c r="G1433" s="12" t="s">
        <v>3203</v>
      </c>
      <c r="H1433" s="12">
        <v>1</v>
      </c>
      <c r="I1433" s="13" t="str">
        <f>HYPERLINK("http://www.ncbi.nlm.nih.gov/gene/84437", "84437")</f>
        <v>84437</v>
      </c>
      <c r="J1433" s="13" t="str">
        <f>HYPERLINK("http://www.ncbi.nlm.nih.gov/nuccore/NM_032424", "NM_032424")</f>
        <v>NM_032424</v>
      </c>
      <c r="K1433" s="12" t="s">
        <v>3204</v>
      </c>
      <c r="L1433" s="13" t="str">
        <f>HYPERLINK("http://asia.ensembl.org/Homo_sapiens/Gene/Summary?g=ENSG00000170903", "ENSG00000170903")</f>
        <v>ENSG00000170903</v>
      </c>
      <c r="M1433" s="12" t="s">
        <v>12903</v>
      </c>
      <c r="N1433" s="12" t="s">
        <v>12904</v>
      </c>
    </row>
    <row r="1434" spans="1:14">
      <c r="A1434" s="12" t="s">
        <v>6850</v>
      </c>
      <c r="B1434" s="8">
        <v>1724.7131850861199</v>
      </c>
      <c r="C1434" s="12">
        <v>815.50103520919799</v>
      </c>
      <c r="D1434" s="8">
        <v>1.0805978523117801</v>
      </c>
      <c r="E1434" s="12">
        <v>4.5077166044879702E-3</v>
      </c>
      <c r="F1434" s="8" t="s">
        <v>6851</v>
      </c>
      <c r="G1434" s="12" t="s">
        <v>6852</v>
      </c>
      <c r="H1434" s="12">
        <v>1</v>
      </c>
      <c r="I1434" s="13" t="str">
        <f>HYPERLINK("http://www.ncbi.nlm.nih.gov/gene/8481", "8481")</f>
        <v>8481</v>
      </c>
      <c r="J1434" s="13" t="str">
        <f>HYPERLINK("http://www.ncbi.nlm.nih.gov/nuccore/NM_003611", "NM_003611")</f>
        <v>NM_003611</v>
      </c>
      <c r="K1434" s="12" t="s">
        <v>6853</v>
      </c>
      <c r="L1434" s="13" t="str">
        <f>HYPERLINK("http://asia.ensembl.org/Homo_sapiens/Gene/Summary?g=ENSG00000046651", "ENSG00000046651")</f>
        <v>ENSG00000046651</v>
      </c>
      <c r="M1434" s="12" t="s">
        <v>14274</v>
      </c>
      <c r="N1434" s="12" t="s">
        <v>14275</v>
      </c>
    </row>
    <row r="1435" spans="1:14">
      <c r="A1435" s="12" t="s">
        <v>10601</v>
      </c>
      <c r="B1435" s="8">
        <v>2249.31929790599</v>
      </c>
      <c r="C1435" s="12">
        <v>1063.85941083988</v>
      </c>
      <c r="D1435" s="8">
        <v>1.0801809596266201</v>
      </c>
      <c r="E1435" s="12">
        <v>4.77647103063611E-3</v>
      </c>
      <c r="F1435" s="8" t="s">
        <v>8452</v>
      </c>
      <c r="G1435" s="12" t="s">
        <v>8453</v>
      </c>
      <c r="H1435" s="12">
        <v>1</v>
      </c>
      <c r="I1435" s="13" t="str">
        <f>HYPERLINK("http://www.ncbi.nlm.nih.gov/gene/10147", "10147")</f>
        <v>10147</v>
      </c>
      <c r="J1435" s="13" t="str">
        <f>HYPERLINK("http://www.ncbi.nlm.nih.gov/nuccore/NM_001017392", "NM_001017392")</f>
        <v>NM_001017392</v>
      </c>
      <c r="K1435" s="12" t="s">
        <v>10602</v>
      </c>
      <c r="L1435" s="13" t="str">
        <f>HYPERLINK("http://asia.ensembl.org/Homo_sapiens/Gene/Summary?g=ENSG00000064607", "ENSG00000064607")</f>
        <v>ENSG00000064607</v>
      </c>
      <c r="M1435" s="12" t="s">
        <v>15620</v>
      </c>
      <c r="N1435" s="12" t="s">
        <v>15621</v>
      </c>
    </row>
    <row r="1436" spans="1:14">
      <c r="A1436" s="12" t="s">
        <v>6428</v>
      </c>
      <c r="B1436" s="8">
        <v>322.849574725759</v>
      </c>
      <c r="C1436" s="12">
        <v>152.739474748639</v>
      </c>
      <c r="D1436" s="8">
        <v>1.0797891590955699</v>
      </c>
      <c r="E1436" s="12">
        <v>1.14409185122192E-4</v>
      </c>
      <c r="F1436" s="8" t="s">
        <v>6429</v>
      </c>
      <c r="G1436" s="12" t="s">
        <v>6430</v>
      </c>
      <c r="H1436" s="12">
        <v>1</v>
      </c>
      <c r="I1436" s="13" t="str">
        <f>HYPERLINK("http://www.ncbi.nlm.nih.gov/gene/51135", "51135")</f>
        <v>51135</v>
      </c>
      <c r="J1436" s="12" t="s">
        <v>14178</v>
      </c>
      <c r="K1436" s="12" t="s">
        <v>14179</v>
      </c>
      <c r="L1436" s="13" t="str">
        <f>HYPERLINK("http://asia.ensembl.org/Homo_sapiens/Gene/Summary?g=ENSG00000198001", "ENSG00000198001")</f>
        <v>ENSG00000198001</v>
      </c>
      <c r="M1436" s="12" t="s">
        <v>14180</v>
      </c>
      <c r="N1436" s="12" t="s">
        <v>14181</v>
      </c>
    </row>
    <row r="1437" spans="1:14">
      <c r="A1437" s="12" t="s">
        <v>2940</v>
      </c>
      <c r="B1437" s="8">
        <v>2337.6621675643601</v>
      </c>
      <c r="C1437" s="12">
        <v>1106.0924473626601</v>
      </c>
      <c r="D1437" s="8">
        <v>1.07959447939147</v>
      </c>
      <c r="E1437" s="12">
        <v>7.2180688084995601E-3</v>
      </c>
      <c r="F1437" s="8" t="s">
        <v>2941</v>
      </c>
      <c r="G1437" s="12" t="s">
        <v>2942</v>
      </c>
      <c r="H1437" s="12">
        <v>1</v>
      </c>
      <c r="I1437" s="13" t="str">
        <f>HYPERLINK("http://www.ncbi.nlm.nih.gov/gene/167153", "167153")</f>
        <v>167153</v>
      </c>
      <c r="J1437" s="12" t="s">
        <v>12842</v>
      </c>
      <c r="K1437" s="12" t="s">
        <v>12843</v>
      </c>
      <c r="L1437" s="13" t="str">
        <f>HYPERLINK("http://asia.ensembl.org/Homo_sapiens/Gene/Summary?g=ENSG00000164329", "ENSG00000164329")</f>
        <v>ENSG00000164329</v>
      </c>
      <c r="M1437" s="12" t="s">
        <v>12844</v>
      </c>
      <c r="N1437" s="12" t="s">
        <v>12845</v>
      </c>
    </row>
    <row r="1438" spans="1:14">
      <c r="A1438" s="12" t="s">
        <v>4920</v>
      </c>
      <c r="B1438" s="8">
        <v>1912.6311232099299</v>
      </c>
      <c r="C1438" s="12">
        <v>905.26677377018905</v>
      </c>
      <c r="D1438" s="8">
        <v>1.07914374836465</v>
      </c>
      <c r="E1438" s="12">
        <v>1.0268123556316901E-3</v>
      </c>
      <c r="F1438" s="8" t="s">
        <v>4921</v>
      </c>
      <c r="G1438" s="12" t="s">
        <v>4922</v>
      </c>
      <c r="H1438" s="12">
        <v>1</v>
      </c>
      <c r="I1438" s="13" t="str">
        <f>HYPERLINK("http://www.ncbi.nlm.nih.gov/gene/3077", "3077")</f>
        <v>3077</v>
      </c>
      <c r="J1438" s="12" t="s">
        <v>13475</v>
      </c>
      <c r="K1438" s="12" t="s">
        <v>13476</v>
      </c>
      <c r="L1438" s="13" t="str">
        <f>HYPERLINK("http://asia.ensembl.org/Homo_sapiens/Gene/Summary?g=ENSG00000010704", "ENSG00000010704")</f>
        <v>ENSG00000010704</v>
      </c>
      <c r="M1438" s="12" t="s">
        <v>13477</v>
      </c>
      <c r="N1438" s="12" t="s">
        <v>13478</v>
      </c>
    </row>
    <row r="1439" spans="1:14">
      <c r="A1439" s="12" t="s">
        <v>2361</v>
      </c>
      <c r="B1439" s="8">
        <v>1969.08352146674</v>
      </c>
      <c r="C1439" s="12">
        <v>932.066943496313</v>
      </c>
      <c r="D1439" s="8">
        <v>1.0790188246299699</v>
      </c>
      <c r="E1439" s="12">
        <v>8.1115593797759806E-3</v>
      </c>
      <c r="F1439" s="8" t="s">
        <v>2362</v>
      </c>
      <c r="G1439" s="12" t="s">
        <v>2363</v>
      </c>
      <c r="H1439" s="12">
        <v>1</v>
      </c>
      <c r="I1439" s="13" t="str">
        <f>HYPERLINK("http://www.ncbi.nlm.nih.gov/gene/10009", "10009")</f>
        <v>10009</v>
      </c>
      <c r="J1439" s="12" t="s">
        <v>12611</v>
      </c>
      <c r="K1439" s="12" t="s">
        <v>12612</v>
      </c>
      <c r="L1439" s="13" t="str">
        <f>HYPERLINK("http://asia.ensembl.org/Homo_sapiens/Gene/Summary?g=ENSG00000177485", "ENSG00000177485")</f>
        <v>ENSG00000177485</v>
      </c>
      <c r="M1439" s="12" t="s">
        <v>12613</v>
      </c>
      <c r="N1439" s="12" t="s">
        <v>12614</v>
      </c>
    </row>
    <row r="1440" spans="1:14">
      <c r="A1440" s="12" t="s">
        <v>2019</v>
      </c>
      <c r="B1440" s="8">
        <v>2106.5351182190202</v>
      </c>
      <c r="C1440" s="12">
        <v>997.25150471744803</v>
      </c>
      <c r="D1440" s="8">
        <v>1.07884266712939</v>
      </c>
      <c r="E1440" s="12">
        <v>9.5719915594578795E-3</v>
      </c>
      <c r="F1440" s="8" t="s">
        <v>2020</v>
      </c>
      <c r="G1440" s="12" t="s">
        <v>12514</v>
      </c>
      <c r="H1440" s="12">
        <v>1</v>
      </c>
      <c r="I1440" s="13" t="str">
        <f>HYPERLINK("http://www.ncbi.nlm.nih.gov/gene/27032", "27032")</f>
        <v>27032</v>
      </c>
      <c r="J1440" s="12" t="s">
        <v>12515</v>
      </c>
      <c r="K1440" s="12" t="s">
        <v>12516</v>
      </c>
      <c r="L1440" s="13" t="str">
        <f>HYPERLINK("http://asia.ensembl.org/Homo_sapiens/Gene/Summary?g=ENSG00000017260", "ENSG00000017260")</f>
        <v>ENSG00000017260</v>
      </c>
      <c r="M1440" s="12" t="s">
        <v>12517</v>
      </c>
      <c r="N1440" s="12" t="s">
        <v>12518</v>
      </c>
    </row>
    <row r="1441" spans="1:14">
      <c r="A1441" s="12" t="s">
        <v>6078</v>
      </c>
      <c r="B1441" s="8">
        <v>3065.9701877901198</v>
      </c>
      <c r="C1441" s="12">
        <v>1451.5862564434699</v>
      </c>
      <c r="D1441" s="8">
        <v>1.07871336628294</v>
      </c>
      <c r="E1441" s="12">
        <v>1.92414949078271E-3</v>
      </c>
      <c r="F1441" s="8" t="s">
        <v>6079</v>
      </c>
      <c r="G1441" s="12" t="s">
        <v>6080</v>
      </c>
      <c r="H1441" s="12">
        <v>1</v>
      </c>
      <c r="I1441" s="13" t="str">
        <f>HYPERLINK("http://www.ncbi.nlm.nih.gov/gene/2146", "2146")</f>
        <v>2146</v>
      </c>
      <c r="J1441" s="12" t="s">
        <v>14030</v>
      </c>
      <c r="K1441" s="12" t="s">
        <v>14031</v>
      </c>
      <c r="L1441" s="13" t="str">
        <f>HYPERLINK("http://asia.ensembl.org/Homo_sapiens/Gene/Summary?g=ENSG00000106462", "ENSG00000106462")</f>
        <v>ENSG00000106462</v>
      </c>
      <c r="M1441" s="12" t="s">
        <v>14032</v>
      </c>
      <c r="N1441" s="12" t="s">
        <v>14033</v>
      </c>
    </row>
    <row r="1442" spans="1:14">
      <c r="A1442" s="12" t="s">
        <v>10690</v>
      </c>
      <c r="B1442" s="8">
        <v>2686.5222299670199</v>
      </c>
      <c r="C1442" s="12">
        <v>1272.23741764844</v>
      </c>
      <c r="D1442" s="8">
        <v>1.0783718526380299</v>
      </c>
      <c r="E1442" s="12">
        <v>4.7749380620364396E-3</v>
      </c>
      <c r="F1442" s="8" t="s">
        <v>6679</v>
      </c>
      <c r="G1442" s="12" t="s">
        <v>6680</v>
      </c>
      <c r="H1442" s="12">
        <v>1</v>
      </c>
      <c r="I1442" s="13" t="str">
        <f>HYPERLINK("http://www.ncbi.nlm.nih.gov/gene/55364", "55364")</f>
        <v>55364</v>
      </c>
      <c r="J1442" s="13" t="str">
        <f>HYPERLINK("http://www.ncbi.nlm.nih.gov/nuccore/NM_018439", "NM_018439")</f>
        <v>NM_018439</v>
      </c>
      <c r="K1442" s="12" t="s">
        <v>6681</v>
      </c>
      <c r="L1442" s="13" t="str">
        <f>HYPERLINK("http://asia.ensembl.org/Homo_sapiens/Gene/Summary?g=ENSG00000154059", "ENSG00000154059")</f>
        <v>ENSG00000154059</v>
      </c>
      <c r="M1442" s="12" t="s">
        <v>15719</v>
      </c>
      <c r="N1442" s="12" t="s">
        <v>15720</v>
      </c>
    </row>
    <row r="1443" spans="1:14">
      <c r="A1443" s="12" t="s">
        <v>10792</v>
      </c>
      <c r="B1443" s="8">
        <v>8319.2572751852094</v>
      </c>
      <c r="C1443" s="12">
        <v>3939.77999724865</v>
      </c>
      <c r="D1443" s="8">
        <v>1.07833966365698</v>
      </c>
      <c r="E1443" s="12">
        <v>8.0347593563854704E-3</v>
      </c>
      <c r="F1443" s="8" t="s">
        <v>4868</v>
      </c>
      <c r="G1443" s="12" t="s">
        <v>4869</v>
      </c>
      <c r="H1443" s="12">
        <v>1</v>
      </c>
      <c r="I1443" s="13" t="str">
        <f>HYPERLINK("http://www.ncbi.nlm.nih.gov/gene/261726", "261726")</f>
        <v>261726</v>
      </c>
      <c r="J1443" s="13" t="str">
        <f>HYPERLINK("http://www.ncbi.nlm.nih.gov/nuccore/NM_152902", "NM_152902")</f>
        <v>NM_152902</v>
      </c>
      <c r="K1443" s="12" t="s">
        <v>4870</v>
      </c>
      <c r="L1443" s="13" t="str">
        <f>HYPERLINK("http://asia.ensembl.org/Homo_sapiens/Gene/Summary?g=ENSG00000143155", "ENSG00000143155")</f>
        <v>ENSG00000143155</v>
      </c>
      <c r="M1443" s="12" t="s">
        <v>15890</v>
      </c>
      <c r="N1443" s="12" t="s">
        <v>15891</v>
      </c>
    </row>
    <row r="1444" spans="1:14">
      <c r="A1444" s="12" t="s">
        <v>3500</v>
      </c>
      <c r="B1444" s="8">
        <v>56479.619685867001</v>
      </c>
      <c r="C1444" s="12">
        <v>26747.9636557091</v>
      </c>
      <c r="D1444" s="8">
        <v>1.07830131189052</v>
      </c>
      <c r="E1444" s="12">
        <v>6.50046689773188E-3</v>
      </c>
      <c r="F1444" s="8" t="s">
        <v>3501</v>
      </c>
      <c r="G1444" s="12" t="s">
        <v>13013</v>
      </c>
      <c r="H1444" s="12">
        <v>1</v>
      </c>
      <c r="I1444" s="13" t="str">
        <f>HYPERLINK("http://www.ncbi.nlm.nih.gov/gene/54407", "54407")</f>
        <v>54407</v>
      </c>
      <c r="J1444" s="13" t="str">
        <f>HYPERLINK("http://www.ncbi.nlm.nih.gov/nuccore/NM_018976", "NM_018976")</f>
        <v>NM_018976</v>
      </c>
      <c r="K1444" s="12" t="s">
        <v>3502</v>
      </c>
      <c r="L1444" s="13" t="str">
        <f>HYPERLINK("http://asia.ensembl.org/Homo_sapiens/Gene/Summary?g=ENSG00000134294", "ENSG00000134294")</f>
        <v>ENSG00000134294</v>
      </c>
      <c r="M1444" s="12" t="s">
        <v>13014</v>
      </c>
      <c r="N1444" s="12" t="s">
        <v>13015</v>
      </c>
    </row>
    <row r="1445" spans="1:14">
      <c r="A1445" s="12" t="s">
        <v>8673</v>
      </c>
      <c r="B1445" s="8">
        <v>1376.0765952915999</v>
      </c>
      <c r="C1445" s="12">
        <v>651.69908189206899</v>
      </c>
      <c r="D1445" s="8">
        <v>1.07828290807586</v>
      </c>
      <c r="E1445" s="12">
        <v>1.28040782001685E-2</v>
      </c>
      <c r="F1445" s="8" t="s">
        <v>8674</v>
      </c>
      <c r="G1445" s="12" t="s">
        <v>8675</v>
      </c>
      <c r="H1445" s="12">
        <v>1</v>
      </c>
      <c r="I1445" s="13" t="str">
        <f>HYPERLINK("http://www.ncbi.nlm.nih.gov/gene/80119", "80119")</f>
        <v>80119</v>
      </c>
      <c r="J1445" s="13" t="str">
        <f>HYPERLINK("http://www.ncbi.nlm.nih.gov/nuccore/NM_025049", "NM_025049")</f>
        <v>NM_025049</v>
      </c>
      <c r="K1445" s="12" t="s">
        <v>8676</v>
      </c>
      <c r="L1445" s="13" t="str">
        <f>HYPERLINK("http://asia.ensembl.org/Homo_sapiens/Gene/Summary?g=ENSG00000140451", "ENSG00000140451")</f>
        <v>ENSG00000140451</v>
      </c>
      <c r="M1445" s="12" t="s">
        <v>14798</v>
      </c>
      <c r="N1445" s="12" t="s">
        <v>14799</v>
      </c>
    </row>
    <row r="1446" spans="1:14">
      <c r="A1446" s="12" t="s">
        <v>8899</v>
      </c>
      <c r="B1446" s="8">
        <v>563.16304606823405</v>
      </c>
      <c r="C1446" s="12">
        <v>266.82971501115702</v>
      </c>
      <c r="D1446" s="8">
        <v>1.0776333309450501</v>
      </c>
      <c r="E1446" s="12">
        <v>2.4425822112968802E-3</v>
      </c>
      <c r="F1446" s="8" t="s">
        <v>2586</v>
      </c>
      <c r="G1446" s="12" t="s">
        <v>2587</v>
      </c>
      <c r="H1446" s="12">
        <v>1</v>
      </c>
      <c r="I1446" s="13" t="str">
        <f>HYPERLINK("http://www.ncbi.nlm.nih.gov/gene/285527", "285527")</f>
        <v>285527</v>
      </c>
      <c r="J1446" s="13" t="str">
        <f>HYPERLINK("http://www.ncbi.nlm.nih.gov/nuccore/NM_015030", "NM_015030")</f>
        <v>NM_015030</v>
      </c>
      <c r="K1446" s="12" t="s">
        <v>2588</v>
      </c>
      <c r="L1446" s="13" t="str">
        <f>HYPERLINK("http://asia.ensembl.org/Homo_sapiens/Gene/Summary?g=ENSG00000075539", "ENSG00000075539")</f>
        <v>ENSG00000075539</v>
      </c>
      <c r="M1446" s="12" t="s">
        <v>12708</v>
      </c>
      <c r="N1446" s="12" t="s">
        <v>12709</v>
      </c>
    </row>
    <row r="1447" spans="1:14">
      <c r="A1447" s="12" t="s">
        <v>7709</v>
      </c>
      <c r="B1447" s="8">
        <v>109.420394133581</v>
      </c>
      <c r="C1447" s="12">
        <v>51.844568135882902</v>
      </c>
      <c r="D1447" s="8">
        <v>1.0776169095631301</v>
      </c>
      <c r="E1447" s="12">
        <v>5.9962343413327195E-4</v>
      </c>
      <c r="F1447" s="8" t="s">
        <v>7710</v>
      </c>
      <c r="G1447" s="12" t="s">
        <v>357</v>
      </c>
      <c r="H1447" s="12">
        <v>1</v>
      </c>
      <c r="I1447" s="13" t="str">
        <f>HYPERLINK("http://www.ncbi.nlm.nih.gov/gene/338811", "338811")</f>
        <v>338811</v>
      </c>
      <c r="J1447" s="13" t="str">
        <f>HYPERLINK("http://www.ncbi.nlm.nih.gov/nuccore/NM_178539", "NM_178539")</f>
        <v>NM_178539</v>
      </c>
      <c r="K1447" s="12" t="s">
        <v>7711</v>
      </c>
      <c r="L1447" s="13" t="str">
        <f>HYPERLINK("http://asia.ensembl.org/Homo_sapiens/Gene/Summary?g=ENSG00000198673", "ENSG00000198673")</f>
        <v>ENSG00000198673</v>
      </c>
      <c r="M1447" s="12" t="s">
        <v>14515</v>
      </c>
      <c r="N1447" s="12" t="s">
        <v>14516</v>
      </c>
    </row>
    <row r="1448" spans="1:14">
      <c r="A1448" s="12" t="s">
        <v>10526</v>
      </c>
      <c r="B1448" s="8">
        <v>841.08428735184896</v>
      </c>
      <c r="C1448" s="12">
        <v>398.56686888729502</v>
      </c>
      <c r="D1448" s="8">
        <v>1.07742859387158</v>
      </c>
      <c r="E1448" s="12">
        <v>8.7670150904804798E-4</v>
      </c>
      <c r="F1448" s="8" t="s">
        <v>10527</v>
      </c>
      <c r="G1448" s="12" t="s">
        <v>10528</v>
      </c>
      <c r="H1448" s="12">
        <v>1</v>
      </c>
      <c r="I1448" s="13" t="str">
        <f>HYPERLINK("http://www.ncbi.nlm.nih.gov/gene/342908", "342908")</f>
        <v>342908</v>
      </c>
      <c r="J1448" s="13" t="str">
        <f>HYPERLINK("http://www.ncbi.nlm.nih.gov/nuccore/NM_001033719", "NM_001033719")</f>
        <v>NM_001033719</v>
      </c>
      <c r="K1448" s="12" t="s">
        <v>10529</v>
      </c>
      <c r="L1448" s="13" t="str">
        <f>HYPERLINK("http://asia.ensembl.org/Homo_sapiens/Gene/Summary?g=ENSG00000176222", "ENSG00000176222")</f>
        <v>ENSG00000176222</v>
      </c>
      <c r="M1448" s="12" t="s">
        <v>15529</v>
      </c>
      <c r="N1448" s="12" t="s">
        <v>15530</v>
      </c>
    </row>
    <row r="1449" spans="1:14">
      <c r="A1449" s="12" t="s">
        <v>4594</v>
      </c>
      <c r="B1449" s="8">
        <v>236.78554430224199</v>
      </c>
      <c r="C1449" s="12">
        <v>112.280067068009</v>
      </c>
      <c r="D1449" s="8">
        <v>1.0764791767616699</v>
      </c>
      <c r="E1449" s="12">
        <v>3.5928398791018001E-2</v>
      </c>
      <c r="F1449" s="8" t="s">
        <v>4595</v>
      </c>
      <c r="G1449" s="12" t="s">
        <v>4596</v>
      </c>
      <c r="H1449" s="12">
        <v>1</v>
      </c>
      <c r="I1449" s="13" t="str">
        <f>HYPERLINK("http://www.ncbi.nlm.nih.gov/gene/84765", "84765")</f>
        <v>84765</v>
      </c>
      <c r="J1449" s="12" t="s">
        <v>13305</v>
      </c>
      <c r="K1449" s="12" t="s">
        <v>13306</v>
      </c>
      <c r="L1449" s="13" t="str">
        <f>HYPERLINK("http://asia.ensembl.org/Homo_sapiens/Gene/Summary?g=ENSG00000161551", "ENSG00000161551")</f>
        <v>ENSG00000161551</v>
      </c>
      <c r="M1449" s="12" t="s">
        <v>13307</v>
      </c>
      <c r="N1449" s="12" t="s">
        <v>13308</v>
      </c>
    </row>
    <row r="1450" spans="1:14">
      <c r="A1450" s="12" t="s">
        <v>10561</v>
      </c>
      <c r="B1450" s="8">
        <v>5993.2799016827203</v>
      </c>
      <c r="C1450" s="12">
        <v>2841.9231182631302</v>
      </c>
      <c r="D1450" s="8">
        <v>1.07647822678355</v>
      </c>
      <c r="E1450" s="12">
        <v>1.16639118183049E-2</v>
      </c>
      <c r="F1450" s="8" t="s">
        <v>4415</v>
      </c>
      <c r="G1450" s="12" t="s">
        <v>4416</v>
      </c>
      <c r="H1450" s="12">
        <v>1</v>
      </c>
      <c r="I1450" s="13" t="str">
        <f>HYPERLINK("http://www.ncbi.nlm.nih.gov/gene/8301", "8301")</f>
        <v>8301</v>
      </c>
      <c r="J1450" s="12" t="s">
        <v>13229</v>
      </c>
      <c r="K1450" s="12" t="s">
        <v>13230</v>
      </c>
      <c r="L1450" s="13" t="str">
        <f>HYPERLINK("http://asia.ensembl.org/Homo_sapiens/Gene/Summary?g=ENSG00000073921", "ENSG00000073921")</f>
        <v>ENSG00000073921</v>
      </c>
      <c r="M1450" s="12" t="s">
        <v>13231</v>
      </c>
      <c r="N1450" s="12" t="s">
        <v>13232</v>
      </c>
    </row>
    <row r="1451" spans="1:14">
      <c r="A1451" s="12" t="s">
        <v>8736</v>
      </c>
      <c r="B1451" s="8">
        <v>242.48381487472901</v>
      </c>
      <c r="C1451" s="12">
        <v>114.996787219111</v>
      </c>
      <c r="D1451" s="8">
        <v>1.07629489889143</v>
      </c>
      <c r="E1451" s="12">
        <v>1.7479677617804799E-2</v>
      </c>
      <c r="F1451" s="8" t="s">
        <v>8737</v>
      </c>
      <c r="G1451" s="12" t="s">
        <v>14841</v>
      </c>
      <c r="H1451" s="12">
        <v>4</v>
      </c>
      <c r="I1451" s="12" t="s">
        <v>8738</v>
      </c>
      <c r="J1451" s="12" t="s">
        <v>8739</v>
      </c>
      <c r="K1451" s="12" t="s">
        <v>8740</v>
      </c>
      <c r="L1451" s="12" t="s">
        <v>8741</v>
      </c>
      <c r="M1451" s="12" t="s">
        <v>14842</v>
      </c>
      <c r="N1451" s="12" t="s">
        <v>14843</v>
      </c>
    </row>
    <row r="1452" spans="1:14">
      <c r="A1452" s="12" t="s">
        <v>1044</v>
      </c>
      <c r="B1452" s="8">
        <v>1724.6975647850199</v>
      </c>
      <c r="C1452" s="12">
        <v>817.93778986949405</v>
      </c>
      <c r="D1452" s="8">
        <v>1.07628037457054</v>
      </c>
      <c r="E1452" s="12">
        <v>8.2076189526009806E-3</v>
      </c>
      <c r="F1452" s="8" t="s">
        <v>1045</v>
      </c>
      <c r="G1452" s="12" t="s">
        <v>1046</v>
      </c>
      <c r="H1452" s="12">
        <v>1</v>
      </c>
      <c r="I1452" s="13" t="str">
        <f>HYPERLINK("http://www.ncbi.nlm.nih.gov/gene/22823", "22823")</f>
        <v>22823</v>
      </c>
      <c r="J1452" s="12" t="s">
        <v>12213</v>
      </c>
      <c r="K1452" s="12" t="s">
        <v>12214</v>
      </c>
      <c r="L1452" s="13" t="str">
        <f>HYPERLINK("http://asia.ensembl.org/Homo_sapiens/Gene/Summary?g=ENSG00000143033", "ENSG00000143033")</f>
        <v>ENSG00000143033</v>
      </c>
      <c r="M1452" s="12" t="s">
        <v>12215</v>
      </c>
      <c r="N1452" s="12" t="s">
        <v>12216</v>
      </c>
    </row>
    <row r="1453" spans="1:14">
      <c r="A1453" s="12" t="s">
        <v>9588</v>
      </c>
      <c r="B1453" s="8">
        <v>5854.3644564782999</v>
      </c>
      <c r="C1453" s="12">
        <v>2776.7467687554499</v>
      </c>
      <c r="D1453" s="8">
        <v>1.07611694824572</v>
      </c>
      <c r="E1453" s="12">
        <v>1.17440709677805E-2</v>
      </c>
      <c r="F1453" s="8" t="s">
        <v>9589</v>
      </c>
      <c r="G1453" s="12" t="s">
        <v>1685</v>
      </c>
      <c r="H1453" s="12">
        <v>1</v>
      </c>
      <c r="I1453" s="13" t="str">
        <f>HYPERLINK("http://www.ncbi.nlm.nih.gov/gene/830", "830")</f>
        <v>830</v>
      </c>
      <c r="J1453" s="13" t="str">
        <f>HYPERLINK("http://www.ncbi.nlm.nih.gov/nuccore/NM_006136", "NM_006136")</f>
        <v>NM_006136</v>
      </c>
      <c r="K1453" s="12" t="s">
        <v>9590</v>
      </c>
      <c r="L1453" s="13" t="str">
        <f>HYPERLINK("http://asia.ensembl.org/Homo_sapiens/Gene/Summary?g=ENSG00000198898", "ENSG00000198898")</f>
        <v>ENSG00000198898</v>
      </c>
      <c r="M1453" s="12" t="s">
        <v>15086</v>
      </c>
      <c r="N1453" s="12" t="s">
        <v>15087</v>
      </c>
    </row>
    <row r="1454" spans="1:14">
      <c r="A1454" s="12" t="s">
        <v>363</v>
      </c>
      <c r="B1454" s="8">
        <v>2355.38348413621</v>
      </c>
      <c r="C1454" s="12">
        <v>1117.49650411679</v>
      </c>
      <c r="D1454" s="8">
        <v>1.0756916484752399</v>
      </c>
      <c r="E1454" s="12">
        <v>2.95461663685754E-3</v>
      </c>
      <c r="F1454" s="8" t="s">
        <v>364</v>
      </c>
      <c r="G1454" s="12" t="s">
        <v>365</v>
      </c>
      <c r="H1454" s="12">
        <v>1</v>
      </c>
      <c r="I1454" s="13" t="str">
        <f>HYPERLINK("http://www.ncbi.nlm.nih.gov/gene/23358", "23358")</f>
        <v>23358</v>
      </c>
      <c r="J1454" s="13" t="str">
        <f>HYPERLINK("http://www.ncbi.nlm.nih.gov/nuccore/NM_015306", "NM_015306")</f>
        <v>NM_015306</v>
      </c>
      <c r="K1454" s="12" t="s">
        <v>366</v>
      </c>
      <c r="L1454" s="13" t="str">
        <f>HYPERLINK("http://asia.ensembl.org/Homo_sapiens/Gene/Summary?g=ENSG00000162402", "ENSG00000162402")</f>
        <v>ENSG00000162402</v>
      </c>
      <c r="M1454" s="12" t="s">
        <v>11961</v>
      </c>
      <c r="N1454" s="12" t="s">
        <v>367</v>
      </c>
    </row>
    <row r="1455" spans="1:14">
      <c r="A1455" s="12" t="s">
        <v>11161</v>
      </c>
      <c r="B1455" s="8">
        <v>11530.8943392159</v>
      </c>
      <c r="C1455" s="12">
        <v>5474.7232726649299</v>
      </c>
      <c r="D1455" s="8">
        <v>1.07464646445229</v>
      </c>
      <c r="E1455" s="12">
        <v>1.8472419475730601E-2</v>
      </c>
      <c r="F1455" s="8" t="s">
        <v>3124</v>
      </c>
      <c r="G1455" s="12" t="s">
        <v>289</v>
      </c>
      <c r="H1455" s="12">
        <v>1</v>
      </c>
      <c r="I1455" s="13" t="str">
        <f>HYPERLINK("http://www.ncbi.nlm.nih.gov/gene/56919", "56919")</f>
        <v>56919</v>
      </c>
      <c r="J1455" s="12" t="s">
        <v>16004</v>
      </c>
      <c r="K1455" s="12" t="s">
        <v>16005</v>
      </c>
      <c r="L1455" s="13" t="str">
        <f>HYPERLINK("http://asia.ensembl.org/Homo_sapiens/Gene/Summary?g=ENSG00000005100", "ENSG00000005100")</f>
        <v>ENSG00000005100</v>
      </c>
      <c r="M1455" s="12" t="s">
        <v>16006</v>
      </c>
      <c r="N1455" s="12" t="s">
        <v>16007</v>
      </c>
    </row>
    <row r="1456" spans="1:14">
      <c r="A1456" s="12" t="s">
        <v>11224</v>
      </c>
      <c r="B1456" s="8">
        <v>1270.42797582721</v>
      </c>
      <c r="C1456" s="12">
        <v>603.31885930832595</v>
      </c>
      <c r="D1456" s="8">
        <v>1.0743220014486801</v>
      </c>
      <c r="E1456" s="12">
        <v>5.9540626491068104E-3</v>
      </c>
      <c r="F1456" s="8" t="s">
        <v>799</v>
      </c>
      <c r="G1456" s="12" t="s">
        <v>800</v>
      </c>
      <c r="H1456" s="12">
        <v>1</v>
      </c>
      <c r="I1456" s="13" t="str">
        <f>HYPERLINK("http://www.ncbi.nlm.nih.gov/gene/112840", "112840")</f>
        <v>112840</v>
      </c>
      <c r="J1456" s="12" t="s">
        <v>12119</v>
      </c>
      <c r="K1456" s="12" t="s">
        <v>12120</v>
      </c>
      <c r="L1456" s="13" t="str">
        <f>HYPERLINK("http://asia.ensembl.org/Homo_sapiens/Gene/Summary?g=ENSG00000140006", "ENSG00000140006")</f>
        <v>ENSG00000140006</v>
      </c>
      <c r="M1456" s="12" t="s">
        <v>12121</v>
      </c>
      <c r="N1456" s="12" t="s">
        <v>12122</v>
      </c>
    </row>
    <row r="1457" spans="1:14">
      <c r="A1457" s="12" t="s">
        <v>4777</v>
      </c>
      <c r="B1457" s="8">
        <v>1664.7404376296599</v>
      </c>
      <c r="C1457" s="12">
        <v>790.61810712109695</v>
      </c>
      <c r="D1457" s="8">
        <v>1.0742443512975199</v>
      </c>
      <c r="E1457" s="12">
        <v>7.6252572228054701E-4</v>
      </c>
      <c r="F1457" s="8" t="s">
        <v>4778</v>
      </c>
      <c r="G1457" s="12" t="s">
        <v>4779</v>
      </c>
      <c r="H1457" s="12">
        <v>1</v>
      </c>
      <c r="I1457" s="13" t="str">
        <f>HYPERLINK("http://www.ncbi.nlm.nih.gov/gene/64397", "64397")</f>
        <v>64397</v>
      </c>
      <c r="J1457" s="13" t="str">
        <f>HYPERLINK("http://www.ncbi.nlm.nih.gov/nuccore/NM_022473", "NM_022473")</f>
        <v>NM_022473</v>
      </c>
      <c r="K1457" s="12" t="s">
        <v>4780</v>
      </c>
      <c r="L1457" s="13" t="str">
        <f>HYPERLINK("http://asia.ensembl.org/Homo_sapiens/Gene/Summary?g=ENSG00000103994", "ENSG00000103994")</f>
        <v>ENSG00000103994</v>
      </c>
      <c r="M1457" s="12" t="s">
        <v>13381</v>
      </c>
      <c r="N1457" s="12" t="s">
        <v>13382</v>
      </c>
    </row>
    <row r="1458" spans="1:14">
      <c r="A1458" s="12" t="s">
        <v>4312</v>
      </c>
      <c r="B1458" s="8">
        <v>430.34544219763302</v>
      </c>
      <c r="C1458" s="12">
        <v>204.40019264866899</v>
      </c>
      <c r="D1458" s="8">
        <v>1.0740986332525</v>
      </c>
      <c r="E1458" s="12">
        <v>1.83191111287117E-3</v>
      </c>
      <c r="F1458" s="8" t="s">
        <v>4313</v>
      </c>
      <c r="G1458" s="12" t="s">
        <v>13190</v>
      </c>
      <c r="H1458" s="12">
        <v>4</v>
      </c>
      <c r="I1458" s="12" t="s">
        <v>4314</v>
      </c>
      <c r="J1458" s="12" t="s">
        <v>13191</v>
      </c>
      <c r="K1458" s="12" t="s">
        <v>13192</v>
      </c>
    </row>
    <row r="1459" spans="1:14">
      <c r="A1459" s="12" t="s">
        <v>3490</v>
      </c>
      <c r="B1459" s="8">
        <v>5492.7214915775603</v>
      </c>
      <c r="C1459" s="12">
        <v>2609.0670686560602</v>
      </c>
      <c r="D1459" s="8">
        <v>1.07398711132575</v>
      </c>
      <c r="E1459" s="12">
        <v>2.7435512532830702E-3</v>
      </c>
      <c r="F1459" s="8" t="s">
        <v>3491</v>
      </c>
      <c r="G1459" s="12" t="s">
        <v>13008</v>
      </c>
      <c r="H1459" s="12">
        <v>1</v>
      </c>
      <c r="I1459" s="13" t="str">
        <f>HYPERLINK("http://www.ncbi.nlm.nih.gov/gene/130074", "130074")</f>
        <v>130074</v>
      </c>
      <c r="J1459" s="13" t="str">
        <f>HYPERLINK("http://www.ncbi.nlm.nih.gov/nuccore/NM_001009993", "NM_001009993")</f>
        <v>NM_001009993</v>
      </c>
      <c r="K1459" s="12" t="s">
        <v>3492</v>
      </c>
      <c r="L1459" s="13" t="str">
        <f>HYPERLINK("http://asia.ensembl.org/Homo_sapiens/Gene/Summary?g=ENSG00000152102", "ENSG00000152102")</f>
        <v>ENSG00000152102</v>
      </c>
      <c r="M1459" s="12" t="s">
        <v>13009</v>
      </c>
      <c r="N1459" s="12" t="s">
        <v>13010</v>
      </c>
    </row>
    <row r="1460" spans="1:14">
      <c r="A1460" s="12" t="s">
        <v>9608</v>
      </c>
      <c r="B1460" s="8">
        <v>3032.4336884624699</v>
      </c>
      <c r="C1460" s="12">
        <v>1440.55504384595</v>
      </c>
      <c r="D1460" s="8">
        <v>1.07385131048841</v>
      </c>
      <c r="E1460" s="12">
        <v>2.5055495290487702E-3</v>
      </c>
      <c r="F1460" s="8" t="s">
        <v>5693</v>
      </c>
      <c r="G1460" s="12" t="s">
        <v>5694</v>
      </c>
      <c r="H1460" s="12">
        <v>1</v>
      </c>
      <c r="I1460" s="13" t="str">
        <f>HYPERLINK("http://www.ncbi.nlm.nih.gov/gene/27236", "27236")</f>
        <v>27236</v>
      </c>
      <c r="J1460" s="12" t="s">
        <v>15108</v>
      </c>
      <c r="K1460" s="12" t="s">
        <v>15109</v>
      </c>
      <c r="L1460" s="13" t="str">
        <f>HYPERLINK("http://asia.ensembl.org/Homo_sapiens/Gene/Summary?g=ENSG00000164144", "ENSG00000164144")</f>
        <v>ENSG00000164144</v>
      </c>
      <c r="M1460" s="12" t="s">
        <v>15110</v>
      </c>
      <c r="N1460" s="12" t="s">
        <v>15111</v>
      </c>
    </row>
    <row r="1461" spans="1:14">
      <c r="A1461" s="12" t="s">
        <v>10725</v>
      </c>
      <c r="B1461" s="8">
        <v>1463.68187579545</v>
      </c>
      <c r="C1461" s="12">
        <v>695.576724139514</v>
      </c>
      <c r="D1461" s="8">
        <v>1.0733204627515001</v>
      </c>
      <c r="E1461" s="12">
        <v>5.0195523253529E-3</v>
      </c>
      <c r="F1461" s="8" t="s">
        <v>4368</v>
      </c>
      <c r="G1461" s="12" t="s">
        <v>4369</v>
      </c>
      <c r="H1461" s="12">
        <v>1</v>
      </c>
      <c r="I1461" s="13" t="str">
        <f>HYPERLINK("http://www.ncbi.nlm.nih.gov/gene/65062", "65062")</f>
        <v>65062</v>
      </c>
      <c r="J1461" s="12" t="s">
        <v>15780</v>
      </c>
      <c r="K1461" s="12" t="s">
        <v>15781</v>
      </c>
      <c r="L1461" s="13" t="str">
        <f>HYPERLINK("http://asia.ensembl.org/Homo_sapiens/Gene/Summary?g=ENSG00000155755", "ENSG00000155755")</f>
        <v>ENSG00000155755</v>
      </c>
      <c r="M1461" s="12" t="s">
        <v>15782</v>
      </c>
      <c r="N1461" s="12" t="s">
        <v>15783</v>
      </c>
    </row>
    <row r="1462" spans="1:14">
      <c r="A1462" s="12" t="s">
        <v>8795</v>
      </c>
      <c r="B1462" s="8">
        <v>2173.62917145868</v>
      </c>
      <c r="C1462" s="12">
        <v>1032.9948695779301</v>
      </c>
      <c r="D1462" s="8">
        <v>1.0732727436676199</v>
      </c>
      <c r="E1462" s="12">
        <v>2.8674586850120001E-3</v>
      </c>
      <c r="F1462" s="8" t="s">
        <v>8796</v>
      </c>
      <c r="G1462" s="12" t="s">
        <v>8797</v>
      </c>
      <c r="H1462" s="12">
        <v>1</v>
      </c>
      <c r="I1462" s="13" t="str">
        <f>HYPERLINK("http://www.ncbi.nlm.nih.gov/gene/54887", "54887")</f>
        <v>54887</v>
      </c>
      <c r="J1462" s="13" t="str">
        <f>HYPERLINK("http://www.ncbi.nlm.nih.gov/nuccore/NM_017754", "NM_017754")</f>
        <v>NM_017754</v>
      </c>
      <c r="K1462" s="12" t="s">
        <v>8798</v>
      </c>
      <c r="L1462" s="13" t="str">
        <f>HYPERLINK("http://asia.ensembl.org/Homo_sapiens/Gene/Summary?g=ENSG00000065060", "ENSG00000065060")</f>
        <v>ENSG00000065060</v>
      </c>
      <c r="M1462" s="12" t="s">
        <v>14887</v>
      </c>
      <c r="N1462" s="12" t="s">
        <v>14888</v>
      </c>
    </row>
    <row r="1463" spans="1:14">
      <c r="A1463" s="12" t="s">
        <v>3988</v>
      </c>
      <c r="B1463" s="8">
        <v>748.43348011494095</v>
      </c>
      <c r="C1463" s="12">
        <v>355.84442791293998</v>
      </c>
      <c r="D1463" s="8">
        <v>1.0726274516371099</v>
      </c>
      <c r="E1463" s="12">
        <v>2.0854754337045999E-4</v>
      </c>
      <c r="F1463" s="8" t="s">
        <v>3989</v>
      </c>
      <c r="G1463" s="12" t="s">
        <v>13146</v>
      </c>
      <c r="H1463" s="12">
        <v>1</v>
      </c>
      <c r="I1463" s="13" t="str">
        <f>HYPERLINK("http://www.ncbi.nlm.nih.gov/gene/53944", "53944")</f>
        <v>53944</v>
      </c>
      <c r="J1463" s="13" t="str">
        <f>HYPERLINK("http://www.ncbi.nlm.nih.gov/nuccore/NM_022048", "NM_022048")</f>
        <v>NM_022048</v>
      </c>
      <c r="K1463" s="12" t="s">
        <v>3990</v>
      </c>
      <c r="L1463" s="13" t="str">
        <f>HYPERLINK("http://asia.ensembl.org/Homo_sapiens/Gene/Summary?g=ENSG00000169118", "ENSG00000169118")</f>
        <v>ENSG00000169118</v>
      </c>
      <c r="M1463" s="12" t="s">
        <v>13147</v>
      </c>
      <c r="N1463" s="12" t="s">
        <v>13148</v>
      </c>
    </row>
    <row r="1464" spans="1:14">
      <c r="A1464" s="12" t="s">
        <v>9492</v>
      </c>
      <c r="B1464" s="8">
        <v>1479.6295521910299</v>
      </c>
      <c r="C1464" s="12">
        <v>703.58350597515403</v>
      </c>
      <c r="D1464" s="8">
        <v>1.0724424529817</v>
      </c>
      <c r="E1464" s="12">
        <v>4.3685836281123804E-3</v>
      </c>
      <c r="F1464" s="8" t="s">
        <v>8946</v>
      </c>
      <c r="G1464" s="12" t="s">
        <v>8947</v>
      </c>
      <c r="H1464" s="12">
        <v>1</v>
      </c>
      <c r="I1464" s="13" t="str">
        <f>HYPERLINK("http://www.ncbi.nlm.nih.gov/gene/163049", "163049")</f>
        <v>163049</v>
      </c>
      <c r="J1464" s="13" t="str">
        <f>HYPERLINK("http://www.ncbi.nlm.nih.gov/nuccore/NM_153358", "NM_153358")</f>
        <v>NM_153358</v>
      </c>
      <c r="K1464" s="12" t="s">
        <v>8948</v>
      </c>
      <c r="L1464" s="13" t="str">
        <f>HYPERLINK("http://asia.ensembl.org/Homo_sapiens/Gene/Summary?g=ENSG00000173875", "ENSG00000173875")</f>
        <v>ENSG00000173875</v>
      </c>
      <c r="M1464" s="12" t="s">
        <v>15051</v>
      </c>
      <c r="N1464" s="12" t="s">
        <v>15052</v>
      </c>
    </row>
    <row r="1465" spans="1:14">
      <c r="A1465" s="12" t="s">
        <v>8687</v>
      </c>
      <c r="B1465" s="8">
        <v>677.03436902028102</v>
      </c>
      <c r="C1465" s="12">
        <v>321.96308402835098</v>
      </c>
      <c r="D1465" s="8">
        <v>1.0723337929085299</v>
      </c>
      <c r="E1465" s="12">
        <v>9.5841552445114701E-4</v>
      </c>
      <c r="F1465" s="8" t="s">
        <v>8688</v>
      </c>
      <c r="G1465" s="12" t="s">
        <v>8689</v>
      </c>
      <c r="H1465" s="12">
        <v>1</v>
      </c>
      <c r="I1465" s="13" t="str">
        <f>HYPERLINK("http://www.ncbi.nlm.nih.gov/gene/169200", "169200")</f>
        <v>169200</v>
      </c>
      <c r="J1465" s="12" t="s">
        <v>14816</v>
      </c>
      <c r="K1465" s="12" t="s">
        <v>14817</v>
      </c>
      <c r="L1465" s="13" t="str">
        <f>HYPERLINK("http://asia.ensembl.org/Homo_sapiens/Gene/Summary?g=ENSG00000180694", "ENSG00000180694")</f>
        <v>ENSG00000180694</v>
      </c>
      <c r="M1465" s="12" t="s">
        <v>14818</v>
      </c>
      <c r="N1465" s="12" t="s">
        <v>14819</v>
      </c>
    </row>
    <row r="1466" spans="1:14">
      <c r="A1466" s="12" t="s">
        <v>1794</v>
      </c>
      <c r="B1466" s="8">
        <v>146.54657353346801</v>
      </c>
      <c r="C1466" s="12">
        <v>69.707582737467007</v>
      </c>
      <c r="D1466" s="8">
        <v>1.0719717311632699</v>
      </c>
      <c r="E1466" s="12">
        <v>2.4711061137794501E-3</v>
      </c>
      <c r="F1466" s="8" t="s">
        <v>1795</v>
      </c>
      <c r="G1466" s="12" t="s">
        <v>12423</v>
      </c>
      <c r="H1466" s="12">
        <v>1</v>
      </c>
      <c r="I1466" s="13" t="str">
        <f>HYPERLINK("http://www.ncbi.nlm.nih.gov/gene/494513", "494513")</f>
        <v>494513</v>
      </c>
      <c r="J1466" s="13" t="str">
        <f>HYPERLINK("http://www.ncbi.nlm.nih.gov/nuccore/NM_001042702", "NM_001042702")</f>
        <v>NM_001042702</v>
      </c>
      <c r="K1466" s="12" t="s">
        <v>1796</v>
      </c>
      <c r="L1466" s="13" t="str">
        <f>HYPERLINK("http://asia.ensembl.org/Homo_sapiens/Gene/Summary?g=ENSG00000204311", "ENSG00000204311")</f>
        <v>ENSG00000204311</v>
      </c>
      <c r="M1466" s="12" t="s">
        <v>12424</v>
      </c>
      <c r="N1466" s="12" t="s">
        <v>12425</v>
      </c>
    </row>
    <row r="1467" spans="1:14">
      <c r="A1467" s="12" t="s">
        <v>232</v>
      </c>
      <c r="B1467" s="8">
        <v>3480.9005756474198</v>
      </c>
      <c r="C1467" s="12">
        <v>1656.0320215219599</v>
      </c>
      <c r="D1467" s="8">
        <v>1.07173003772234</v>
      </c>
      <c r="E1467" s="12">
        <v>4.9820433029925098E-3</v>
      </c>
      <c r="F1467" s="8" t="s">
        <v>233</v>
      </c>
      <c r="G1467" s="12" t="s">
        <v>234</v>
      </c>
      <c r="H1467" s="12">
        <v>1</v>
      </c>
      <c r="I1467" s="13" t="str">
        <f>HYPERLINK("http://www.ncbi.nlm.nih.gov/gene/51012", "51012")</f>
        <v>51012</v>
      </c>
      <c r="J1467" s="12" t="s">
        <v>11906</v>
      </c>
      <c r="K1467" s="12" t="s">
        <v>11907</v>
      </c>
      <c r="L1467" s="13" t="str">
        <f>HYPERLINK("http://asia.ensembl.org/Homo_sapiens/Gene/Summary?g=ENSG00000101166", "ENSG00000101166")</f>
        <v>ENSG00000101166</v>
      </c>
      <c r="M1467" s="12" t="s">
        <v>11908</v>
      </c>
      <c r="N1467" s="12" t="s">
        <v>11909</v>
      </c>
    </row>
    <row r="1468" spans="1:14">
      <c r="A1468" s="12" t="s">
        <v>11137</v>
      </c>
      <c r="B1468" s="8">
        <v>1767.4499193127299</v>
      </c>
      <c r="C1468" s="12">
        <v>841.10367059572104</v>
      </c>
      <c r="D1468" s="8">
        <v>1.07131380030273</v>
      </c>
      <c r="E1468" s="12">
        <v>4.6792550741305301E-3</v>
      </c>
      <c r="F1468" s="8" t="s">
        <v>7640</v>
      </c>
      <c r="G1468" s="12" t="s">
        <v>15990</v>
      </c>
      <c r="H1468" s="12">
        <v>1</v>
      </c>
      <c r="I1468" s="13" t="str">
        <f>HYPERLINK("http://www.ncbi.nlm.nih.gov/gene/1982", "1982")</f>
        <v>1982</v>
      </c>
      <c r="J1468" s="12" t="s">
        <v>15991</v>
      </c>
      <c r="K1468" s="12" t="s">
        <v>15992</v>
      </c>
      <c r="L1468" s="13" t="str">
        <f>HYPERLINK("http://asia.ensembl.org/Homo_sapiens/Gene/Summary?g=ENSG00000110321", "ENSG00000110321")</f>
        <v>ENSG00000110321</v>
      </c>
      <c r="M1468" s="12" t="s">
        <v>15993</v>
      </c>
      <c r="N1468" s="12" t="s">
        <v>15994</v>
      </c>
    </row>
    <row r="1469" spans="1:14">
      <c r="A1469" s="12" t="s">
        <v>1055</v>
      </c>
      <c r="B1469" s="8">
        <v>168.991406142572</v>
      </c>
      <c r="C1469" s="12">
        <v>80.452186146315697</v>
      </c>
      <c r="D1469" s="8">
        <v>1.07074635254036</v>
      </c>
      <c r="E1469" s="12">
        <v>1.3472706488409401E-2</v>
      </c>
      <c r="F1469" s="8" t="s">
        <v>1056</v>
      </c>
      <c r="G1469" s="12" t="s">
        <v>12217</v>
      </c>
      <c r="H1469" s="12">
        <v>1</v>
      </c>
      <c r="I1469" s="13" t="str">
        <f>HYPERLINK("http://www.ncbi.nlm.nih.gov/gene/201164", "201164")</f>
        <v>201164</v>
      </c>
      <c r="J1469" s="13" t="str">
        <f>HYPERLINK("http://www.ncbi.nlm.nih.gov/nuccore/NM_178836", "NM_178836")</f>
        <v>NM_178836</v>
      </c>
      <c r="K1469" s="12" t="s">
        <v>1057</v>
      </c>
      <c r="L1469" s="13" t="str">
        <f>HYPERLINK("http://asia.ensembl.org/Homo_sapiens/Gene/Summary?g=ENSG00000179598", "ENSG00000179598")</f>
        <v>ENSG00000179598</v>
      </c>
      <c r="M1469" s="12" t="s">
        <v>1058</v>
      </c>
      <c r="N1469" s="12" t="s">
        <v>1059</v>
      </c>
    </row>
    <row r="1470" spans="1:14">
      <c r="A1470" s="12" t="s">
        <v>2251</v>
      </c>
      <c r="B1470" s="8">
        <v>643.86461857537404</v>
      </c>
      <c r="C1470" s="12">
        <v>306.630668856054</v>
      </c>
      <c r="D1470" s="8">
        <v>1.0702553727225701</v>
      </c>
      <c r="E1470" s="12">
        <v>2.1974357727381998E-2</v>
      </c>
      <c r="F1470" s="8" t="s">
        <v>2252</v>
      </c>
      <c r="G1470" s="12" t="s">
        <v>1158</v>
      </c>
      <c r="H1470" s="12">
        <v>1</v>
      </c>
      <c r="I1470" s="13" t="str">
        <f>HYPERLINK("http://www.ncbi.nlm.nih.gov/gene/2149", "2149")</f>
        <v>2149</v>
      </c>
      <c r="J1470" s="13" t="str">
        <f>HYPERLINK("http://www.ncbi.nlm.nih.gov/nuccore/NM_001992", "NM_001992")</f>
        <v>NM_001992</v>
      </c>
      <c r="K1470" s="12" t="s">
        <v>2253</v>
      </c>
      <c r="L1470" s="13" t="str">
        <f>HYPERLINK("http://asia.ensembl.org/Homo_sapiens/Gene/Summary?g=ENSG00000181104", "ENSG00000181104")</f>
        <v>ENSG00000181104</v>
      </c>
      <c r="M1470" s="12" t="s">
        <v>12585</v>
      </c>
      <c r="N1470" s="12" t="s">
        <v>12586</v>
      </c>
    </row>
    <row r="1471" spans="1:14">
      <c r="A1471" s="12" t="s">
        <v>1064</v>
      </c>
      <c r="B1471" s="8">
        <v>1797.8005922658101</v>
      </c>
      <c r="C1471" s="12">
        <v>856.19576064852799</v>
      </c>
      <c r="D1471" s="8">
        <v>1.07022041211673</v>
      </c>
      <c r="E1471" s="12">
        <v>1.93563688683254E-3</v>
      </c>
      <c r="F1471" s="8" t="s">
        <v>1065</v>
      </c>
      <c r="G1471" s="12" t="s">
        <v>1066</v>
      </c>
      <c r="H1471" s="12">
        <v>1</v>
      </c>
      <c r="I1471" s="13" t="str">
        <f>HYPERLINK("http://www.ncbi.nlm.nih.gov/gene/25913", "25913")</f>
        <v>25913</v>
      </c>
      <c r="J1471" s="12" t="s">
        <v>12220</v>
      </c>
      <c r="K1471" s="12" t="s">
        <v>12221</v>
      </c>
      <c r="L1471" s="13" t="str">
        <f>HYPERLINK("http://asia.ensembl.org/Homo_sapiens/Gene/Summary?g=ENSG00000128513", "ENSG00000128513")</f>
        <v>ENSG00000128513</v>
      </c>
      <c r="M1471" s="12" t="s">
        <v>12222</v>
      </c>
      <c r="N1471" s="12" t="s">
        <v>12223</v>
      </c>
    </row>
    <row r="1472" spans="1:14">
      <c r="A1472" s="12" t="s">
        <v>11373</v>
      </c>
      <c r="B1472" s="8">
        <v>1853.2683898643099</v>
      </c>
      <c r="C1472" s="12">
        <v>883.10954160468305</v>
      </c>
      <c r="D1472" s="8">
        <v>1.06940752011218</v>
      </c>
      <c r="E1472" s="12">
        <v>6.4652406312605002E-3</v>
      </c>
      <c r="F1472" s="8" t="s">
        <v>9716</v>
      </c>
      <c r="G1472" s="12" t="s">
        <v>9717</v>
      </c>
      <c r="H1472" s="12">
        <v>4</v>
      </c>
      <c r="I1472" s="12" t="s">
        <v>9718</v>
      </c>
      <c r="J1472" s="12" t="s">
        <v>16120</v>
      </c>
      <c r="K1472" s="12" t="s">
        <v>16121</v>
      </c>
      <c r="L1472" s="13" t="str">
        <f>HYPERLINK("http://asia.ensembl.org/Homo_sapiens/Gene/Summary?g=ENSG00000161960", "ENSG00000161960")</f>
        <v>ENSG00000161960</v>
      </c>
      <c r="M1472" s="12" t="s">
        <v>16122</v>
      </c>
      <c r="N1472" s="12" t="s">
        <v>16123</v>
      </c>
    </row>
    <row r="1473" spans="1:14">
      <c r="A1473" s="12" t="s">
        <v>3894</v>
      </c>
      <c r="B1473" s="8">
        <v>1046.8529454485399</v>
      </c>
      <c r="C1473" s="12">
        <v>498.85135871817897</v>
      </c>
      <c r="D1473" s="8">
        <v>1.0693768877510501</v>
      </c>
      <c r="E1473" s="12">
        <v>4.4097479347622601E-3</v>
      </c>
      <c r="F1473" s="8" t="s">
        <v>3895</v>
      </c>
      <c r="G1473" s="12" t="s">
        <v>13117</v>
      </c>
      <c r="H1473" s="12">
        <v>1</v>
      </c>
      <c r="I1473" s="13" t="str">
        <f>HYPERLINK("http://www.ncbi.nlm.nih.gov/gene/284098", "284098")</f>
        <v>284098</v>
      </c>
      <c r="J1473" s="13" t="str">
        <f>HYPERLINK("http://www.ncbi.nlm.nih.gov/nuccore/NM_178517", "NM_178517")</f>
        <v>NM_178517</v>
      </c>
      <c r="K1473" s="12" t="s">
        <v>3896</v>
      </c>
      <c r="L1473" s="13" t="str">
        <f>HYPERLINK("http://asia.ensembl.org/Homo_sapiens/Gene/Summary?g=ENSG00000275600", "ENSG00000275600")</f>
        <v>ENSG00000275600</v>
      </c>
      <c r="M1473" s="12" t="s">
        <v>13118</v>
      </c>
      <c r="N1473" s="12" t="s">
        <v>13119</v>
      </c>
    </row>
    <row r="1474" spans="1:14">
      <c r="A1474" s="12" t="s">
        <v>3423</v>
      </c>
      <c r="B1474" s="8">
        <v>1354.0354235643099</v>
      </c>
      <c r="C1474" s="12">
        <v>645.51132787116603</v>
      </c>
      <c r="D1474" s="8">
        <v>1.0687511641777201</v>
      </c>
      <c r="E1474" s="12">
        <v>1.2967320453458699E-3</v>
      </c>
      <c r="F1474" s="8" t="s">
        <v>3424</v>
      </c>
      <c r="G1474" s="12" t="s">
        <v>12971</v>
      </c>
      <c r="H1474" s="12">
        <v>1</v>
      </c>
      <c r="I1474" s="13" t="str">
        <f>HYPERLINK("http://www.ncbi.nlm.nih.gov/gene/59338", "59338")</f>
        <v>59338</v>
      </c>
      <c r="J1474" s="12" t="s">
        <v>12972</v>
      </c>
      <c r="K1474" s="12" t="s">
        <v>12973</v>
      </c>
      <c r="L1474" s="13" t="str">
        <f>HYPERLINK("http://asia.ensembl.org/Homo_sapiens/Gene/Summary?g=ENSG00000107679", "ENSG00000107679")</f>
        <v>ENSG00000107679</v>
      </c>
      <c r="M1474" s="12" t="s">
        <v>12974</v>
      </c>
      <c r="N1474" s="12" t="s">
        <v>12975</v>
      </c>
    </row>
    <row r="1475" spans="1:14">
      <c r="A1475" s="12" t="s">
        <v>3769</v>
      </c>
      <c r="B1475" s="8">
        <v>1948.9248649778499</v>
      </c>
      <c r="C1475" s="12">
        <v>929.11551088115505</v>
      </c>
      <c r="D1475" s="8">
        <v>1.06874859908567</v>
      </c>
      <c r="E1475" s="12">
        <v>3.2041441193124301E-3</v>
      </c>
      <c r="F1475" s="8" t="s">
        <v>3770</v>
      </c>
      <c r="G1475" s="12" t="s">
        <v>3771</v>
      </c>
      <c r="H1475" s="12">
        <v>1</v>
      </c>
      <c r="I1475" s="13" t="str">
        <f>HYPERLINK("http://www.ncbi.nlm.nih.gov/gene/57522", "57522")</f>
        <v>57522</v>
      </c>
      <c r="J1475" s="13" t="str">
        <f>HYPERLINK("http://www.ncbi.nlm.nih.gov/nuccore/NM_020762", "NM_020762")</f>
        <v>NM_020762</v>
      </c>
      <c r="K1475" s="12" t="s">
        <v>3772</v>
      </c>
      <c r="L1475" s="13" t="str">
        <f>HYPERLINK("http://asia.ensembl.org/Homo_sapiens/Gene/Summary?g=ENSG00000196935", "ENSG00000196935")</f>
        <v>ENSG00000196935</v>
      </c>
      <c r="M1475" s="12" t="s">
        <v>13088</v>
      </c>
      <c r="N1475" s="12" t="s">
        <v>13089</v>
      </c>
    </row>
    <row r="1476" spans="1:14">
      <c r="A1476" s="12" t="s">
        <v>893</v>
      </c>
      <c r="B1476" s="8">
        <v>729.32699375120603</v>
      </c>
      <c r="C1476" s="12">
        <v>347.741169130797</v>
      </c>
      <c r="D1476" s="8">
        <v>1.0685519138421</v>
      </c>
      <c r="E1476" s="12">
        <v>9.2319539553060298E-3</v>
      </c>
      <c r="F1476" s="8" t="s">
        <v>894</v>
      </c>
      <c r="G1476" s="12" t="s">
        <v>12155</v>
      </c>
      <c r="H1476" s="12">
        <v>1</v>
      </c>
      <c r="I1476" s="13" t="str">
        <f>HYPERLINK("http://www.ncbi.nlm.nih.gov/gene/116442", "116442")</f>
        <v>116442</v>
      </c>
      <c r="J1476" s="13" t="str">
        <f>HYPERLINK("http://www.ncbi.nlm.nih.gov/nuccore/NM_171998", "NM_171998")</f>
        <v>NM_171998</v>
      </c>
      <c r="K1476" s="12" t="s">
        <v>895</v>
      </c>
      <c r="L1476" s="13" t="str">
        <f>HYPERLINK("http://asia.ensembl.org/Homo_sapiens/Gene/Summary?g=ENSG00000155961", "ENSG00000155961")</f>
        <v>ENSG00000155961</v>
      </c>
      <c r="M1476" s="12" t="s">
        <v>896</v>
      </c>
      <c r="N1476" s="12" t="s">
        <v>897</v>
      </c>
    </row>
    <row r="1477" spans="1:14">
      <c r="A1477" s="12" t="s">
        <v>10515</v>
      </c>
      <c r="B1477" s="8">
        <v>1847.10505801563</v>
      </c>
      <c r="C1477" s="12">
        <v>880.70133912860297</v>
      </c>
      <c r="D1477" s="8">
        <v>1.06854116033548</v>
      </c>
      <c r="E1477" s="12">
        <v>3.81928442955008E-3</v>
      </c>
      <c r="F1477" s="8" t="s">
        <v>8991</v>
      </c>
      <c r="G1477" s="12" t="s">
        <v>8992</v>
      </c>
      <c r="H1477" s="12">
        <v>1</v>
      </c>
      <c r="I1477" s="13" t="str">
        <f>HYPERLINK("http://www.ncbi.nlm.nih.gov/gene/27123", "27123")</f>
        <v>27123</v>
      </c>
      <c r="J1477" s="13" t="str">
        <f>HYPERLINK("http://www.ncbi.nlm.nih.gov/nuccore/NM_014421", "NM_014421")</f>
        <v>NM_014421</v>
      </c>
      <c r="K1477" s="12" t="s">
        <v>8993</v>
      </c>
      <c r="L1477" s="13" t="str">
        <f>HYPERLINK("http://asia.ensembl.org/Homo_sapiens/Gene/Summary?g=ENSG00000155011", "ENSG00000155011")</f>
        <v>ENSG00000155011</v>
      </c>
      <c r="M1477" s="12" t="s">
        <v>15508</v>
      </c>
      <c r="N1477" s="12" t="s">
        <v>15509</v>
      </c>
    </row>
    <row r="1478" spans="1:14">
      <c r="A1478" s="12" t="s">
        <v>6977</v>
      </c>
      <c r="B1478" s="8">
        <v>456.70241532345699</v>
      </c>
      <c r="C1478" s="12">
        <v>217.778664429766</v>
      </c>
      <c r="D1478" s="8">
        <v>1.06839179808961</v>
      </c>
      <c r="E1478" s="12">
        <v>4.2838964170632196E-3</v>
      </c>
      <c r="F1478" s="8" t="s">
        <v>6237</v>
      </c>
      <c r="G1478" s="12" t="s">
        <v>6238</v>
      </c>
      <c r="H1478" s="12">
        <v>1</v>
      </c>
      <c r="I1478" s="13" t="str">
        <f>HYPERLINK("http://www.ncbi.nlm.nih.gov/gene/90957", "90957")</f>
        <v>90957</v>
      </c>
      <c r="J1478" s="13" t="str">
        <f>HYPERLINK("http://www.ncbi.nlm.nih.gov/nuccore/NM_198963", "NM_198963")</f>
        <v>NM_198963</v>
      </c>
      <c r="K1478" s="12" t="s">
        <v>6239</v>
      </c>
      <c r="L1478" s="13" t="str">
        <f>HYPERLINK("http://asia.ensembl.org/Homo_sapiens/Gene/Summary?g=ENSG00000163214", "ENSG00000163214")</f>
        <v>ENSG00000163214</v>
      </c>
      <c r="M1478" s="12" t="s">
        <v>14321</v>
      </c>
      <c r="N1478" s="12" t="s">
        <v>14322</v>
      </c>
    </row>
    <row r="1479" spans="1:14">
      <c r="A1479" s="12" t="s">
        <v>11244</v>
      </c>
      <c r="B1479" s="8">
        <v>1073.1595931050899</v>
      </c>
      <c r="C1479" s="12">
        <v>511.84900925806301</v>
      </c>
      <c r="D1479" s="8">
        <v>1.0680744436385099</v>
      </c>
      <c r="E1479" s="12">
        <v>7.8397047736826204E-4</v>
      </c>
      <c r="F1479" s="8" t="s">
        <v>8169</v>
      </c>
      <c r="G1479" s="12" t="s">
        <v>8170</v>
      </c>
      <c r="H1479" s="12">
        <v>1</v>
      </c>
      <c r="I1479" s="13" t="str">
        <f>HYPERLINK("http://www.ncbi.nlm.nih.gov/gene/3796", "3796")</f>
        <v>3796</v>
      </c>
      <c r="J1479" s="12" t="s">
        <v>16057</v>
      </c>
      <c r="K1479" s="12" t="s">
        <v>16058</v>
      </c>
      <c r="L1479" s="13" t="str">
        <f>HYPERLINK("http://asia.ensembl.org/Homo_sapiens/Gene/Summary?g=ENSG00000068796", "ENSG00000068796")</f>
        <v>ENSG00000068796</v>
      </c>
      <c r="M1479" s="12" t="s">
        <v>16059</v>
      </c>
      <c r="N1479" s="12" t="s">
        <v>16060</v>
      </c>
    </row>
    <row r="1480" spans="1:14">
      <c r="A1480" s="12" t="s">
        <v>9493</v>
      </c>
      <c r="B1480" s="8">
        <v>5665.9315320579699</v>
      </c>
      <c r="C1480" s="12">
        <v>2703.1652045277501</v>
      </c>
      <c r="D1480" s="8">
        <v>1.06766348289698</v>
      </c>
      <c r="E1480" s="12">
        <v>1.30831988878851E-2</v>
      </c>
      <c r="F1480" s="8" t="s">
        <v>2076</v>
      </c>
      <c r="G1480" s="12" t="s">
        <v>2077</v>
      </c>
      <c r="H1480" s="12">
        <v>1</v>
      </c>
      <c r="I1480" s="13" t="str">
        <f>HYPERLINK("http://www.ncbi.nlm.nih.gov/gene/23118", "23118")</f>
        <v>23118</v>
      </c>
      <c r="J1480" s="13" t="str">
        <f>HYPERLINK("http://www.ncbi.nlm.nih.gov/nuccore/NM_015093", "NM_015093")</f>
        <v>NM_015093</v>
      </c>
      <c r="K1480" s="12" t="s">
        <v>2078</v>
      </c>
      <c r="L1480" s="13" t="str">
        <f>HYPERLINK("http://asia.ensembl.org/Homo_sapiens/Gene/Summary?g=ENSG00000055208", "ENSG00000055208")</f>
        <v>ENSG00000055208</v>
      </c>
      <c r="M1480" s="12" t="s">
        <v>12539</v>
      </c>
      <c r="N1480" s="12" t="s">
        <v>12540</v>
      </c>
    </row>
    <row r="1481" spans="1:14">
      <c r="A1481" s="12" t="s">
        <v>571</v>
      </c>
      <c r="B1481" s="8">
        <v>2063.9380030983598</v>
      </c>
      <c r="C1481" s="12">
        <v>984.86573475414195</v>
      </c>
      <c r="D1481" s="8">
        <v>1.06740067283735</v>
      </c>
      <c r="E1481" s="12">
        <v>1.34169693613891E-2</v>
      </c>
      <c r="F1481" s="8" t="s">
        <v>572</v>
      </c>
      <c r="G1481" s="12" t="s">
        <v>573</v>
      </c>
      <c r="H1481" s="12">
        <v>1</v>
      </c>
      <c r="I1481" s="13" t="str">
        <f>HYPERLINK("http://www.ncbi.nlm.nih.gov/gene/3156", "3156")</f>
        <v>3156</v>
      </c>
      <c r="J1481" s="12" t="s">
        <v>12026</v>
      </c>
      <c r="K1481" s="12" t="s">
        <v>12027</v>
      </c>
      <c r="L1481" s="13" t="str">
        <f>HYPERLINK("http://asia.ensembl.org/Homo_sapiens/Gene/Summary?g=ENSG00000113161", "ENSG00000113161")</f>
        <v>ENSG00000113161</v>
      </c>
      <c r="M1481" s="12" t="s">
        <v>12028</v>
      </c>
      <c r="N1481" s="12" t="s">
        <v>12029</v>
      </c>
    </row>
    <row r="1482" spans="1:14">
      <c r="A1482" s="12" t="s">
        <v>11392</v>
      </c>
      <c r="B1482" s="8">
        <v>59437.714195082997</v>
      </c>
      <c r="C1482" s="12">
        <v>28370.405562141001</v>
      </c>
      <c r="D1482" s="8">
        <v>1.06699186055684</v>
      </c>
      <c r="E1482" s="12">
        <v>4.3643226064165198E-3</v>
      </c>
      <c r="F1482" s="8" t="s">
        <v>11393</v>
      </c>
      <c r="G1482" s="12" t="s">
        <v>16126</v>
      </c>
      <c r="H1482" s="12">
        <v>1</v>
      </c>
      <c r="I1482" s="13" t="str">
        <f>HYPERLINK("http://www.ncbi.nlm.nih.gov/gene/1645", "1645")</f>
        <v>1645</v>
      </c>
      <c r="J1482" s="13" t="str">
        <f>HYPERLINK("http://www.ncbi.nlm.nih.gov/nuccore/NM_001353", "NM_001353")</f>
        <v>NM_001353</v>
      </c>
      <c r="K1482" s="12" t="s">
        <v>11394</v>
      </c>
      <c r="L1482" s="13" t="str">
        <f>HYPERLINK("http://asia.ensembl.org/Homo_sapiens/Gene/Summary?g=ENSG00000187134", "ENSG00000187134")</f>
        <v>ENSG00000187134</v>
      </c>
      <c r="M1482" s="12" t="s">
        <v>16127</v>
      </c>
      <c r="N1482" s="12" t="s">
        <v>16128</v>
      </c>
    </row>
    <row r="1483" spans="1:14">
      <c r="A1483" s="12" t="s">
        <v>10206</v>
      </c>
      <c r="B1483" s="8">
        <v>1165.4874086247301</v>
      </c>
      <c r="C1483" s="12">
        <v>556.33552578081299</v>
      </c>
      <c r="D1483" s="8">
        <v>1.06690627888738</v>
      </c>
      <c r="E1483" s="12">
        <v>7.0232788273890496E-3</v>
      </c>
      <c r="F1483" s="8" t="s">
        <v>9695</v>
      </c>
      <c r="G1483" s="12" t="s">
        <v>9696</v>
      </c>
      <c r="H1483" s="12">
        <v>1</v>
      </c>
      <c r="I1483" s="13" t="str">
        <f>HYPERLINK("http://www.ncbi.nlm.nih.gov/gene/1730", "1730")</f>
        <v>1730</v>
      </c>
      <c r="J1483" s="13" t="str">
        <f>HYPERLINK("http://www.ncbi.nlm.nih.gov/nuccore/NM_007309", "NM_007309")</f>
        <v>NM_007309</v>
      </c>
      <c r="K1483" s="12" t="s">
        <v>10207</v>
      </c>
      <c r="L1483" s="13" t="str">
        <f>HYPERLINK("http://asia.ensembl.org/Homo_sapiens/Gene/Summary?g=ENSG00000147202", "ENSG00000147202")</f>
        <v>ENSG00000147202</v>
      </c>
      <c r="M1483" s="12" t="s">
        <v>15321</v>
      </c>
      <c r="N1483" s="12" t="s">
        <v>15322</v>
      </c>
    </row>
    <row r="1484" spans="1:14">
      <c r="A1484" s="12" t="s">
        <v>1582</v>
      </c>
      <c r="B1484" s="8">
        <v>1134.2945857059401</v>
      </c>
      <c r="C1484" s="12">
        <v>541.50792969324095</v>
      </c>
      <c r="D1484" s="8">
        <v>1.06674099927229</v>
      </c>
      <c r="E1484" s="12">
        <v>1.4113811538216199E-2</v>
      </c>
      <c r="F1484" s="8" t="s">
        <v>1583</v>
      </c>
      <c r="G1484" s="12" t="s">
        <v>1584</v>
      </c>
      <c r="H1484" s="12">
        <v>1</v>
      </c>
      <c r="I1484" s="13" t="str">
        <f>HYPERLINK("http://www.ncbi.nlm.nih.gov/gene/54899", "54899")</f>
        <v>54899</v>
      </c>
      <c r="J1484" s="13" t="str">
        <f>HYPERLINK("http://www.ncbi.nlm.nih.gov/nuccore/NM_017771", "NM_017771")</f>
        <v>NM_017771</v>
      </c>
      <c r="K1484" s="12" t="s">
        <v>1585</v>
      </c>
      <c r="L1484" s="13" t="str">
        <f>HYPERLINK("http://asia.ensembl.org/Homo_sapiens/Gene/Summary?g=ENSG00000168297", "ENSG00000168297")</f>
        <v>ENSG00000168297</v>
      </c>
      <c r="M1484" s="12" t="s">
        <v>12366</v>
      </c>
      <c r="N1484" s="12" t="s">
        <v>12367</v>
      </c>
    </row>
    <row r="1485" spans="1:14">
      <c r="A1485" s="12" t="s">
        <v>11685</v>
      </c>
      <c r="B1485" s="8">
        <v>476.81449318882602</v>
      </c>
      <c r="C1485" s="12">
        <v>227.662280008181</v>
      </c>
      <c r="D1485" s="8">
        <v>1.0665328086066901</v>
      </c>
      <c r="E1485" s="12">
        <v>2.82425534252316E-2</v>
      </c>
      <c r="F1485" s="8" t="s">
        <v>38</v>
      </c>
      <c r="G1485" s="12" t="s">
        <v>38</v>
      </c>
      <c r="H1485" s="12">
        <v>1</v>
      </c>
      <c r="I1485" s="12" t="s">
        <v>38</v>
      </c>
      <c r="J1485" s="12" t="s">
        <v>38</v>
      </c>
      <c r="K1485" s="12" t="s">
        <v>38</v>
      </c>
      <c r="L1485" s="12" t="s">
        <v>11686</v>
      </c>
      <c r="M1485" s="12" t="s">
        <v>11687</v>
      </c>
      <c r="N1485" s="12" t="s">
        <v>11688</v>
      </c>
    </row>
    <row r="1486" spans="1:14">
      <c r="A1486" s="12" t="s">
        <v>5292</v>
      </c>
      <c r="B1486" s="8">
        <v>1254.8400427956201</v>
      </c>
      <c r="C1486" s="12">
        <v>599.35232763630404</v>
      </c>
      <c r="D1486" s="8">
        <v>1.06602723055063</v>
      </c>
      <c r="E1486" s="12">
        <v>9.59978367867452E-3</v>
      </c>
      <c r="F1486" s="8" t="s">
        <v>5293</v>
      </c>
      <c r="G1486" s="12" t="s">
        <v>5294</v>
      </c>
      <c r="H1486" s="12">
        <v>1</v>
      </c>
      <c r="I1486" s="13" t="str">
        <f>HYPERLINK("http://www.ncbi.nlm.nih.gov/gene/79675", "79675")</f>
        <v>79675</v>
      </c>
      <c r="J1486" s="13" t="str">
        <f>HYPERLINK("http://www.ncbi.nlm.nih.gov/nuccore/NM_024622", "NM_024622")</f>
        <v>NM_024622</v>
      </c>
      <c r="K1486" s="12" t="s">
        <v>5295</v>
      </c>
      <c r="L1486" s="13" t="str">
        <f>HYPERLINK("http://asia.ensembl.org/Homo_sapiens/Gene/Summary?g=ENSG00000138399", "ENSG00000138399")</f>
        <v>ENSG00000138399</v>
      </c>
      <c r="M1486" s="12" t="s">
        <v>13666</v>
      </c>
      <c r="N1486" s="12" t="s">
        <v>13667</v>
      </c>
    </row>
    <row r="1487" spans="1:14">
      <c r="A1487" s="12" t="s">
        <v>3926</v>
      </c>
      <c r="B1487" s="8">
        <v>883.740024824182</v>
      </c>
      <c r="C1487" s="12">
        <v>422.180699934443</v>
      </c>
      <c r="D1487" s="8">
        <v>1.0657613985255501</v>
      </c>
      <c r="E1487" s="12">
        <v>3.3617108129710598E-3</v>
      </c>
      <c r="F1487" s="8" t="s">
        <v>3927</v>
      </c>
      <c r="G1487" s="12" t="s">
        <v>13123</v>
      </c>
      <c r="H1487" s="12">
        <v>4</v>
      </c>
      <c r="I1487" s="12" t="s">
        <v>3928</v>
      </c>
      <c r="J1487" s="12" t="s">
        <v>13124</v>
      </c>
      <c r="K1487" s="12" t="s">
        <v>13125</v>
      </c>
      <c r="L1487" s="12" t="s">
        <v>3929</v>
      </c>
      <c r="M1487" s="12" t="s">
        <v>13126</v>
      </c>
      <c r="N1487" s="12" t="s">
        <v>13127</v>
      </c>
    </row>
    <row r="1488" spans="1:14">
      <c r="A1488" s="12" t="s">
        <v>8776</v>
      </c>
      <c r="B1488" s="8">
        <v>787.10505397510303</v>
      </c>
      <c r="C1488" s="12">
        <v>376.11085674644301</v>
      </c>
      <c r="D1488" s="8">
        <v>1.0653982518270499</v>
      </c>
      <c r="E1488" s="12">
        <v>4.4700879189535202E-3</v>
      </c>
      <c r="F1488" s="8" t="s">
        <v>179</v>
      </c>
      <c r="G1488" s="12" t="s">
        <v>180</v>
      </c>
      <c r="H1488" s="12">
        <v>1</v>
      </c>
      <c r="I1488" s="13" t="str">
        <f>HYPERLINK("http://www.ncbi.nlm.nih.gov/gene/2935", "2935")</f>
        <v>2935</v>
      </c>
      <c r="J1488" s="12" t="s">
        <v>14871</v>
      </c>
      <c r="K1488" s="12" t="s">
        <v>14872</v>
      </c>
      <c r="L1488" s="13" t="str">
        <f>HYPERLINK("http://asia.ensembl.org/Homo_sapiens/Gene/Summary?g=ENSG00000103342", "ENSG00000103342")</f>
        <v>ENSG00000103342</v>
      </c>
      <c r="M1488" s="12" t="s">
        <v>14873</v>
      </c>
      <c r="N1488" s="12" t="s">
        <v>14874</v>
      </c>
    </row>
    <row r="1489" spans="1:14">
      <c r="A1489" s="12" t="s">
        <v>7731</v>
      </c>
      <c r="B1489" s="8">
        <v>1662.0494461261001</v>
      </c>
      <c r="C1489" s="12">
        <v>794.41062060546994</v>
      </c>
      <c r="D1489" s="8">
        <v>1.06500648732506</v>
      </c>
      <c r="E1489" s="12">
        <v>2.2838905142793499E-2</v>
      </c>
      <c r="F1489" s="8" t="s">
        <v>7732</v>
      </c>
      <c r="G1489" s="12" t="s">
        <v>7733</v>
      </c>
      <c r="H1489" s="12">
        <v>1</v>
      </c>
      <c r="I1489" s="13" t="str">
        <f>HYPERLINK("http://www.ncbi.nlm.nih.gov/gene/51014", "51014")</f>
        <v>51014</v>
      </c>
      <c r="J1489" s="13" t="str">
        <f>HYPERLINK("http://www.ncbi.nlm.nih.gov/nuccore/NM_181836", "NM_181836")</f>
        <v>NM_181836</v>
      </c>
      <c r="K1489" s="12" t="s">
        <v>7734</v>
      </c>
      <c r="L1489" s="13" t="str">
        <f>HYPERLINK("http://asia.ensembl.org/Homo_sapiens/Gene/Summary?g=ENSG00000134970", "ENSG00000134970")</f>
        <v>ENSG00000134970</v>
      </c>
      <c r="M1489" s="12" t="s">
        <v>14525</v>
      </c>
      <c r="N1489" s="12" t="s">
        <v>14526</v>
      </c>
    </row>
    <row r="1490" spans="1:14">
      <c r="A1490" s="12" t="s">
        <v>10812</v>
      </c>
      <c r="B1490" s="8">
        <v>7900.5484796639703</v>
      </c>
      <c r="C1490" s="12">
        <v>3776.9396354250298</v>
      </c>
      <c r="D1490" s="8">
        <v>1.06473508673622</v>
      </c>
      <c r="E1490" s="12">
        <v>5.8293224139972202E-4</v>
      </c>
      <c r="F1490" s="8" t="s">
        <v>6477</v>
      </c>
      <c r="G1490" s="12" t="s">
        <v>6478</v>
      </c>
      <c r="H1490" s="12">
        <v>1</v>
      </c>
      <c r="I1490" s="13" t="str">
        <f>HYPERLINK("http://www.ncbi.nlm.nih.gov/gene/996", "996")</f>
        <v>996</v>
      </c>
      <c r="J1490" s="12" t="s">
        <v>14203</v>
      </c>
      <c r="K1490" s="12" t="s">
        <v>14204</v>
      </c>
      <c r="L1490" s="13" t="str">
        <f>HYPERLINK("http://asia.ensembl.org/Homo_sapiens/Gene/Summary?g=ENSG00000004897", "ENSG00000004897")</f>
        <v>ENSG00000004897</v>
      </c>
      <c r="M1490" s="12" t="s">
        <v>14205</v>
      </c>
      <c r="N1490" s="12" t="s">
        <v>14206</v>
      </c>
    </row>
    <row r="1491" spans="1:14">
      <c r="A1491" s="12" t="s">
        <v>4575</v>
      </c>
      <c r="B1491" s="8">
        <v>456.09222608835603</v>
      </c>
      <c r="C1491" s="12">
        <v>218.044642135277</v>
      </c>
      <c r="D1491" s="8">
        <v>1.06470203976113</v>
      </c>
      <c r="E1491" s="12">
        <v>2.2566018057448001E-2</v>
      </c>
      <c r="F1491" s="8" t="s">
        <v>4576</v>
      </c>
      <c r="G1491" s="12" t="s">
        <v>4577</v>
      </c>
      <c r="H1491" s="12">
        <v>1</v>
      </c>
      <c r="I1491" s="13" t="str">
        <f>HYPERLINK("http://www.ncbi.nlm.nih.gov/gene/23304", "23304")</f>
        <v>23304</v>
      </c>
      <c r="J1491" s="13" t="str">
        <f>HYPERLINK("http://www.ncbi.nlm.nih.gov/nuccore/NM_015255", "NM_015255")</f>
        <v>NM_015255</v>
      </c>
      <c r="K1491" s="12" t="s">
        <v>4578</v>
      </c>
      <c r="L1491" s="13" t="str">
        <f>HYPERLINK("http://asia.ensembl.org/Homo_sapiens/Gene/Summary?g=ENSG00000024048", "ENSG00000024048")</f>
        <v>ENSG00000024048</v>
      </c>
      <c r="M1491" s="12" t="s">
        <v>13292</v>
      </c>
      <c r="N1491" s="12" t="s">
        <v>13293</v>
      </c>
    </row>
    <row r="1492" spans="1:14">
      <c r="A1492" s="12" t="s">
        <v>11089</v>
      </c>
      <c r="B1492" s="8">
        <v>3671.0824020371001</v>
      </c>
      <c r="C1492" s="12">
        <v>1755.2948541357</v>
      </c>
      <c r="D1492" s="8">
        <v>1.0644921033379799</v>
      </c>
      <c r="E1492" s="12">
        <v>2.1754920620043099E-3</v>
      </c>
      <c r="F1492" s="8" t="s">
        <v>1784</v>
      </c>
      <c r="G1492" s="12" t="s">
        <v>15975</v>
      </c>
      <c r="H1492" s="12">
        <v>1</v>
      </c>
      <c r="I1492" s="13" t="str">
        <f>HYPERLINK("http://www.ncbi.nlm.nih.gov/gene/10725", "10725")</f>
        <v>10725</v>
      </c>
      <c r="J1492" s="13" t="str">
        <f>HYPERLINK("http://www.ncbi.nlm.nih.gov/nuccore/NM_173215", "NM_173215")</f>
        <v>NM_173215</v>
      </c>
      <c r="K1492" s="12" t="s">
        <v>11090</v>
      </c>
      <c r="L1492" s="13" t="str">
        <f>HYPERLINK("http://asia.ensembl.org/Homo_sapiens/Gene/Summary?g=ENSG00000102908", "ENSG00000102908")</f>
        <v>ENSG00000102908</v>
      </c>
      <c r="M1492" s="12" t="s">
        <v>15976</v>
      </c>
      <c r="N1492" s="12" t="s">
        <v>15977</v>
      </c>
    </row>
    <row r="1493" spans="1:14">
      <c r="A1493" s="12" t="s">
        <v>10719</v>
      </c>
      <c r="B1493" s="8">
        <v>233.85689440416201</v>
      </c>
      <c r="C1493" s="12">
        <v>111.868454777282</v>
      </c>
      <c r="D1493" s="8">
        <v>1.06382268655644</v>
      </c>
      <c r="E1493" s="12">
        <v>1.9887961020383501E-3</v>
      </c>
      <c r="F1493" s="8" t="s">
        <v>8963</v>
      </c>
      <c r="G1493" s="12" t="s">
        <v>8964</v>
      </c>
      <c r="H1493" s="12">
        <v>1</v>
      </c>
      <c r="I1493" s="13" t="str">
        <f>HYPERLINK("http://www.ncbi.nlm.nih.gov/gene/91147", "91147")</f>
        <v>91147</v>
      </c>
      <c r="J1493" s="13" t="str">
        <f>HYPERLINK("http://www.ncbi.nlm.nih.gov/nuccore/NR_024522", "NR_024522")</f>
        <v>NR_024522</v>
      </c>
      <c r="K1493" s="12" t="s">
        <v>199</v>
      </c>
      <c r="L1493" s="13" t="str">
        <f>HYPERLINK("http://asia.ensembl.org/Homo_sapiens/Gene/Summary?g=ENSG00000164953", "ENSG00000164953")</f>
        <v>ENSG00000164953</v>
      </c>
      <c r="M1493" s="12" t="s">
        <v>15761</v>
      </c>
      <c r="N1493" s="12" t="s">
        <v>15762</v>
      </c>
    </row>
    <row r="1494" spans="1:14">
      <c r="A1494" s="12" t="s">
        <v>10747</v>
      </c>
      <c r="B1494" s="8">
        <v>2337.76910187567</v>
      </c>
      <c r="C1494" s="12">
        <v>1118.3144113112701</v>
      </c>
      <c r="D1494" s="8">
        <v>1.06380658864453</v>
      </c>
      <c r="E1494" s="12">
        <v>8.9533269155363405E-3</v>
      </c>
      <c r="F1494" s="8" t="s">
        <v>6536</v>
      </c>
      <c r="G1494" s="12" t="s">
        <v>6537</v>
      </c>
      <c r="H1494" s="12">
        <v>1</v>
      </c>
      <c r="I1494" s="13" t="str">
        <f>HYPERLINK("http://www.ncbi.nlm.nih.gov/gene/5082", "5082")</f>
        <v>5082</v>
      </c>
      <c r="J1494" s="13" t="str">
        <f>HYPERLINK("http://www.ncbi.nlm.nih.gov/nuccore/NM_005388", "NM_005388")</f>
        <v>NM_005388</v>
      </c>
      <c r="K1494" s="12" t="s">
        <v>6538</v>
      </c>
      <c r="L1494" s="13" t="str">
        <f>HYPERLINK("http://asia.ensembl.org/Homo_sapiens/Gene/Summary?g=ENSG00000136940", "ENSG00000136940")</f>
        <v>ENSG00000136940</v>
      </c>
      <c r="M1494" s="12" t="s">
        <v>15812</v>
      </c>
      <c r="N1494" s="12" t="s">
        <v>15813</v>
      </c>
    </row>
    <row r="1495" spans="1:14">
      <c r="A1495" s="12" t="s">
        <v>11412</v>
      </c>
      <c r="B1495" s="8">
        <v>104.509073188765</v>
      </c>
      <c r="C1495" s="12">
        <v>50</v>
      </c>
      <c r="D1495" s="8">
        <v>1.06362819853782</v>
      </c>
      <c r="E1495" s="12">
        <v>1.21244219872124E-3</v>
      </c>
      <c r="F1495" s="8" t="s">
        <v>2931</v>
      </c>
      <c r="G1495" s="12" t="s">
        <v>2932</v>
      </c>
      <c r="H1495" s="12">
        <v>4</v>
      </c>
      <c r="I1495" s="12" t="s">
        <v>2933</v>
      </c>
      <c r="J1495" s="12" t="s">
        <v>2934</v>
      </c>
      <c r="K1495" s="12" t="s">
        <v>2935</v>
      </c>
      <c r="L1495" s="12" t="s">
        <v>2936</v>
      </c>
      <c r="M1495" s="12" t="s">
        <v>16131</v>
      </c>
      <c r="N1495" s="12" t="s">
        <v>16132</v>
      </c>
    </row>
    <row r="1496" spans="1:14">
      <c r="A1496" s="12" t="s">
        <v>10611</v>
      </c>
      <c r="B1496" s="8">
        <v>2165.2720906186</v>
      </c>
      <c r="C1496" s="12">
        <v>1036.2400489484401</v>
      </c>
      <c r="D1496" s="8">
        <v>1.0631900795529201</v>
      </c>
      <c r="E1496" s="12">
        <v>8.1656928423159503E-4</v>
      </c>
      <c r="F1496" s="8" t="s">
        <v>2418</v>
      </c>
      <c r="G1496" s="12" t="s">
        <v>12628</v>
      </c>
      <c r="H1496" s="12">
        <v>1</v>
      </c>
      <c r="I1496" s="13" t="str">
        <f>HYPERLINK("http://www.ncbi.nlm.nih.gov/gene/114822", "114822")</f>
        <v>114822</v>
      </c>
      <c r="J1496" s="13" t="str">
        <f>HYPERLINK("http://www.ncbi.nlm.nih.gov/nuccore/NM_052924", "NM_052924")</f>
        <v>NM_052924</v>
      </c>
      <c r="K1496" s="12" t="s">
        <v>2419</v>
      </c>
      <c r="L1496" s="13" t="str">
        <f>HYPERLINK("http://asia.ensembl.org/Homo_sapiens/Gene/Summary?g=ENSG00000158106", "ENSG00000158106")</f>
        <v>ENSG00000158106</v>
      </c>
      <c r="M1496" s="12" t="s">
        <v>12629</v>
      </c>
      <c r="N1496" s="12" t="s">
        <v>12630</v>
      </c>
    </row>
    <row r="1497" spans="1:14">
      <c r="A1497" s="12" t="s">
        <v>11215</v>
      </c>
      <c r="B1497" s="8">
        <v>5278.5259170293502</v>
      </c>
      <c r="C1497" s="12">
        <v>2526.2573794718101</v>
      </c>
      <c r="D1497" s="8">
        <v>1.06313346743327</v>
      </c>
      <c r="E1497" s="12">
        <v>6.6046765462008904E-3</v>
      </c>
      <c r="F1497" s="8" t="s">
        <v>4377</v>
      </c>
      <c r="G1497" s="12" t="s">
        <v>2721</v>
      </c>
      <c r="H1497" s="12">
        <v>1</v>
      </c>
      <c r="I1497" s="13" t="str">
        <f>HYPERLINK("http://www.ncbi.nlm.nih.gov/gene/55676", "55676")</f>
        <v>55676</v>
      </c>
      <c r="J1497" s="12" t="s">
        <v>16035</v>
      </c>
      <c r="K1497" s="12" t="s">
        <v>16036</v>
      </c>
      <c r="L1497" s="13" t="str">
        <f>HYPERLINK("http://asia.ensembl.org/Homo_sapiens/Gene/Summary?g=ENSG00000152683", "ENSG00000152683")</f>
        <v>ENSG00000152683</v>
      </c>
      <c r="M1497" s="12" t="s">
        <v>16037</v>
      </c>
      <c r="N1497" s="12" t="s">
        <v>16038</v>
      </c>
    </row>
    <row r="1498" spans="1:14">
      <c r="A1498" s="12" t="s">
        <v>5301</v>
      </c>
      <c r="B1498" s="8">
        <v>7307.1455311366699</v>
      </c>
      <c r="C1498" s="12">
        <v>3501.3348040052701</v>
      </c>
      <c r="D1498" s="8">
        <v>1.0614029192560801</v>
      </c>
      <c r="E1498" s="12">
        <v>5.6990651141865202E-3</v>
      </c>
      <c r="F1498" s="8" t="s">
        <v>5302</v>
      </c>
      <c r="G1498" s="12" t="s">
        <v>5303</v>
      </c>
      <c r="H1498" s="12">
        <v>1</v>
      </c>
      <c r="I1498" s="13" t="str">
        <f>HYPERLINK("http://www.ncbi.nlm.nih.gov/gene/51322", "51322")</f>
        <v>51322</v>
      </c>
      <c r="J1498" s="12" t="s">
        <v>13672</v>
      </c>
      <c r="K1498" s="12" t="s">
        <v>13673</v>
      </c>
      <c r="L1498" s="13" t="str">
        <f>HYPERLINK("http://asia.ensembl.org/Homo_sapiens/Gene/Summary?g=ENSG00000095787", "ENSG00000095787")</f>
        <v>ENSG00000095787</v>
      </c>
      <c r="M1498" s="12" t="s">
        <v>13674</v>
      </c>
      <c r="N1498" s="12" t="s">
        <v>13675</v>
      </c>
    </row>
    <row r="1499" spans="1:14">
      <c r="A1499" s="12" t="s">
        <v>11469</v>
      </c>
      <c r="B1499" s="8">
        <v>5106.4074270248702</v>
      </c>
      <c r="C1499" s="12">
        <v>2447.4580457106199</v>
      </c>
      <c r="D1499" s="8">
        <v>1.0610245218546299</v>
      </c>
      <c r="E1499" s="12">
        <v>2.3830352119874401E-2</v>
      </c>
      <c r="F1499" s="8" t="s">
        <v>11470</v>
      </c>
      <c r="G1499" s="12" t="s">
        <v>16152</v>
      </c>
      <c r="H1499" s="12">
        <v>4</v>
      </c>
      <c r="I1499" s="12" t="s">
        <v>11471</v>
      </c>
      <c r="J1499" s="12" t="s">
        <v>11472</v>
      </c>
      <c r="K1499" s="12" t="s">
        <v>11473</v>
      </c>
      <c r="L1499" s="12" t="s">
        <v>11474</v>
      </c>
      <c r="M1499" s="12" t="s">
        <v>16153</v>
      </c>
      <c r="N1499" s="12" t="s">
        <v>11475</v>
      </c>
    </row>
    <row r="1500" spans="1:14">
      <c r="A1500" s="12" t="s">
        <v>11643</v>
      </c>
      <c r="B1500" s="8">
        <v>1140.9556337474901</v>
      </c>
      <c r="C1500" s="12">
        <v>546.91237882543101</v>
      </c>
      <c r="D1500" s="8">
        <v>1.06086107170893</v>
      </c>
      <c r="E1500" s="12">
        <v>4.2842697285004599E-3</v>
      </c>
      <c r="F1500" s="8" t="s">
        <v>11644</v>
      </c>
      <c r="G1500" s="12" t="s">
        <v>11645</v>
      </c>
      <c r="H1500" s="12">
        <v>4</v>
      </c>
      <c r="I1500" s="12" t="s">
        <v>11646</v>
      </c>
      <c r="J1500" s="12" t="s">
        <v>16178</v>
      </c>
      <c r="K1500" s="12" t="s">
        <v>16179</v>
      </c>
      <c r="L1500" s="12" t="s">
        <v>11647</v>
      </c>
      <c r="M1500" s="12" t="s">
        <v>16180</v>
      </c>
      <c r="N1500" s="12" t="s">
        <v>16181</v>
      </c>
    </row>
    <row r="1501" spans="1:14">
      <c r="A1501" s="12" t="s">
        <v>9708</v>
      </c>
      <c r="B1501" s="8">
        <v>29153.4278440936</v>
      </c>
      <c r="C1501" s="12">
        <v>13977.773172768</v>
      </c>
      <c r="D1501" s="8">
        <v>1.0605309843295101</v>
      </c>
      <c r="E1501" s="12">
        <v>1.1480173847137299E-2</v>
      </c>
      <c r="F1501" s="8" t="s">
        <v>9709</v>
      </c>
      <c r="G1501" s="12" t="s">
        <v>9710</v>
      </c>
      <c r="H1501" s="12">
        <v>1</v>
      </c>
      <c r="I1501" s="13" t="str">
        <f>HYPERLINK("http://www.ncbi.nlm.nih.gov/gene/6651", "6651")</f>
        <v>6651</v>
      </c>
      <c r="J1501" s="13" t="str">
        <f>HYPERLINK("http://www.ncbi.nlm.nih.gov/nuccore/NM_138927", "NM_138927")</f>
        <v>NM_138927</v>
      </c>
      <c r="K1501" s="12" t="s">
        <v>9711</v>
      </c>
      <c r="L1501" s="13" t="str">
        <f>HYPERLINK("http://asia.ensembl.org/Homo_sapiens/Gene/Summary?g=ENSG00000159140", "ENSG00000159140")</f>
        <v>ENSG00000159140</v>
      </c>
      <c r="M1501" s="12" t="s">
        <v>15173</v>
      </c>
      <c r="N1501" s="12" t="s">
        <v>15174</v>
      </c>
    </row>
    <row r="1502" spans="1:14">
      <c r="A1502" s="12" t="s">
        <v>8719</v>
      </c>
      <c r="B1502" s="8">
        <v>10653.1057907047</v>
      </c>
      <c r="C1502" s="12">
        <v>5108.2727256666903</v>
      </c>
      <c r="D1502" s="8">
        <v>1.0603666366704201</v>
      </c>
      <c r="E1502" s="12">
        <v>5.93266259508824E-3</v>
      </c>
      <c r="F1502" s="8" t="s">
        <v>8720</v>
      </c>
      <c r="G1502" s="12" t="s">
        <v>352</v>
      </c>
      <c r="H1502" s="12">
        <v>1</v>
      </c>
      <c r="I1502" s="13" t="str">
        <f>HYPERLINK("http://www.ncbi.nlm.nih.gov/gene/440672", "440672")</f>
        <v>440672</v>
      </c>
      <c r="J1502" s="13" t="str">
        <f>HYPERLINK("http://www.ncbi.nlm.nih.gov/nuccore/NR_002212", "NR_002212")</f>
        <v>NR_002212</v>
      </c>
      <c r="K1502" s="12" t="s">
        <v>199</v>
      </c>
      <c r="L1502" s="12" t="s">
        <v>38</v>
      </c>
      <c r="M1502" s="12" t="s">
        <v>38</v>
      </c>
      <c r="N1502" s="12" t="s">
        <v>38</v>
      </c>
    </row>
    <row r="1503" spans="1:14">
      <c r="A1503" s="12" t="s">
        <v>5120</v>
      </c>
      <c r="B1503" s="8">
        <v>399.985608879241</v>
      </c>
      <c r="C1503" s="12">
        <v>191.810742745347</v>
      </c>
      <c r="D1503" s="8">
        <v>1.0602645704217799</v>
      </c>
      <c r="E1503" s="12">
        <v>1.4042196589852E-2</v>
      </c>
      <c r="F1503" s="8" t="s">
        <v>5121</v>
      </c>
      <c r="G1503" s="12" t="s">
        <v>5122</v>
      </c>
      <c r="H1503" s="12">
        <v>1</v>
      </c>
      <c r="I1503" s="13" t="str">
        <f>HYPERLINK("http://www.ncbi.nlm.nih.gov/gene/55003", "55003")</f>
        <v>55003</v>
      </c>
      <c r="J1503" s="13" t="str">
        <f>HYPERLINK("http://www.ncbi.nlm.nih.gov/nuccore/NM_017906", "NM_017906")</f>
        <v>NM_017906</v>
      </c>
      <c r="K1503" s="12" t="s">
        <v>5123</v>
      </c>
      <c r="L1503" s="13" t="str">
        <f>HYPERLINK("http://asia.ensembl.org/Homo_sapiens/Gene/Summary?g=ENSG00000111845", "ENSG00000111845")</f>
        <v>ENSG00000111845</v>
      </c>
      <c r="M1503" s="12" t="s">
        <v>5124</v>
      </c>
      <c r="N1503" s="12" t="s">
        <v>5125</v>
      </c>
    </row>
    <row r="1504" spans="1:14">
      <c r="A1504" s="12" t="s">
        <v>10863</v>
      </c>
      <c r="B1504" s="8">
        <v>1531.0497293354499</v>
      </c>
      <c r="C1504" s="12">
        <v>734.27965268089804</v>
      </c>
      <c r="D1504" s="8">
        <v>1.06011961541038</v>
      </c>
      <c r="E1504" s="12">
        <v>2.0026826020057901E-2</v>
      </c>
      <c r="F1504" s="8" t="s">
        <v>10864</v>
      </c>
      <c r="G1504" s="12" t="s">
        <v>10865</v>
      </c>
      <c r="H1504" s="12">
        <v>4</v>
      </c>
      <c r="I1504" s="12" t="s">
        <v>10866</v>
      </c>
      <c r="J1504" s="12" t="s">
        <v>15936</v>
      </c>
      <c r="K1504" s="12" t="s">
        <v>15937</v>
      </c>
      <c r="L1504" s="13" t="str">
        <f>HYPERLINK("http://asia.ensembl.org/Homo_sapiens/Gene/Summary?g=ENSG00000205560", "ENSG00000205560")</f>
        <v>ENSG00000205560</v>
      </c>
      <c r="M1504" s="12" t="s">
        <v>15424</v>
      </c>
      <c r="N1504" s="12" t="s">
        <v>15425</v>
      </c>
    </row>
    <row r="1505" spans="1:14">
      <c r="A1505" s="12" t="s">
        <v>1987</v>
      </c>
      <c r="B1505" s="8">
        <v>286.50689063688702</v>
      </c>
      <c r="C1505" s="12">
        <v>137.44990885331001</v>
      </c>
      <c r="D1505" s="8">
        <v>1.0596638867894499</v>
      </c>
      <c r="E1505" s="12">
        <v>9.3597923139667402E-3</v>
      </c>
      <c r="F1505" s="8" t="s">
        <v>1988</v>
      </c>
      <c r="G1505" s="12" t="s">
        <v>1875</v>
      </c>
      <c r="H1505" s="12">
        <v>1</v>
      </c>
      <c r="I1505" s="13" t="str">
        <f>HYPERLINK("http://www.ncbi.nlm.nih.gov/gene/84456", "84456")</f>
        <v>84456</v>
      </c>
      <c r="J1505" s="12" t="s">
        <v>12502</v>
      </c>
      <c r="K1505" s="12" t="s">
        <v>12503</v>
      </c>
      <c r="L1505" s="13" t="str">
        <f>HYPERLINK("http://asia.ensembl.org/Homo_sapiens/Gene/Summary?g=ENSG00000198945", "ENSG00000198945")</f>
        <v>ENSG00000198945</v>
      </c>
      <c r="M1505" s="12" t="s">
        <v>12504</v>
      </c>
      <c r="N1505" s="12" t="s">
        <v>12505</v>
      </c>
    </row>
    <row r="1506" spans="1:14">
      <c r="A1506" s="12" t="s">
        <v>10878</v>
      </c>
      <c r="B1506" s="8">
        <v>1632.3173392159199</v>
      </c>
      <c r="C1506" s="12">
        <v>783.20001500955402</v>
      </c>
      <c r="D1506" s="8">
        <v>1.0594688615721</v>
      </c>
      <c r="E1506" s="12">
        <v>8.9298862941674193E-3</v>
      </c>
      <c r="F1506" s="8" t="s">
        <v>1579</v>
      </c>
      <c r="G1506" s="12" t="s">
        <v>1580</v>
      </c>
      <c r="H1506" s="12">
        <v>1</v>
      </c>
      <c r="I1506" s="13" t="str">
        <f>HYPERLINK("http://www.ncbi.nlm.nih.gov/gene/545", "545")</f>
        <v>545</v>
      </c>
      <c r="J1506" s="13" t="str">
        <f>HYPERLINK("http://www.ncbi.nlm.nih.gov/nuccore/NM_001184", "NM_001184")</f>
        <v>NM_001184</v>
      </c>
      <c r="K1506" s="12" t="s">
        <v>1581</v>
      </c>
      <c r="L1506" s="13" t="str">
        <f>HYPERLINK("http://asia.ensembl.org/Homo_sapiens/Gene/Summary?g=ENSG00000175054", "ENSG00000175054")</f>
        <v>ENSG00000175054</v>
      </c>
      <c r="M1506" s="12" t="s">
        <v>12364</v>
      </c>
      <c r="N1506" s="12" t="s">
        <v>12365</v>
      </c>
    </row>
    <row r="1507" spans="1:14">
      <c r="A1507" s="12" t="s">
        <v>11202</v>
      </c>
      <c r="B1507" s="8">
        <v>2870.6619857655901</v>
      </c>
      <c r="C1507" s="12">
        <v>1377.9070155529</v>
      </c>
      <c r="D1507" s="8">
        <v>1.05890493149793</v>
      </c>
      <c r="E1507" s="12">
        <v>5.1935907516373597E-3</v>
      </c>
      <c r="F1507" s="8" t="s">
        <v>4974</v>
      </c>
      <c r="G1507" s="12" t="s">
        <v>4975</v>
      </c>
      <c r="H1507" s="12">
        <v>1</v>
      </c>
      <c r="I1507" s="13" t="str">
        <f>HYPERLINK("http://www.ncbi.nlm.nih.gov/gene/55127", "55127")</f>
        <v>55127</v>
      </c>
      <c r="J1507" s="13" t="str">
        <f>HYPERLINK("http://www.ncbi.nlm.nih.gov/nuccore/NM_018072", "NM_018072")</f>
        <v>NM_018072</v>
      </c>
      <c r="K1507" s="12" t="s">
        <v>4976</v>
      </c>
      <c r="L1507" s="13" t="str">
        <f>HYPERLINK("http://asia.ensembl.org/Homo_sapiens/Gene/Summary?g=ENSG00000119285", "ENSG00000119285")</f>
        <v>ENSG00000119285</v>
      </c>
      <c r="M1507" s="12" t="s">
        <v>13514</v>
      </c>
      <c r="N1507" s="12" t="s">
        <v>13515</v>
      </c>
    </row>
    <row r="1508" spans="1:14">
      <c r="A1508" s="12" t="s">
        <v>2454</v>
      </c>
      <c r="B1508" s="8">
        <v>1104.9812519767299</v>
      </c>
      <c r="C1508" s="12">
        <v>530.50490991270101</v>
      </c>
      <c r="D1508" s="8">
        <v>1.05858388316925</v>
      </c>
      <c r="E1508" s="12">
        <v>7.1089864878035999E-3</v>
      </c>
      <c r="F1508" s="8" t="s">
        <v>2455</v>
      </c>
      <c r="G1508" s="12" t="s">
        <v>2456</v>
      </c>
      <c r="H1508" s="12">
        <v>1</v>
      </c>
      <c r="I1508" s="13" t="str">
        <f>HYPERLINK("http://www.ncbi.nlm.nih.gov/gene/23074", "23074")</f>
        <v>23074</v>
      </c>
      <c r="J1508" s="13" t="str">
        <f>HYPERLINK("http://www.ncbi.nlm.nih.gov/nuccore/NM_015054", "NM_015054")</f>
        <v>NM_015054</v>
      </c>
      <c r="K1508" s="12" t="s">
        <v>2457</v>
      </c>
      <c r="L1508" s="13" t="str">
        <f>HYPERLINK("http://asia.ensembl.org/Homo_sapiens/Gene/Summary?g=ENSG00000111647", "ENSG00000111647")</f>
        <v>ENSG00000111647</v>
      </c>
      <c r="M1508" s="12" t="s">
        <v>12650</v>
      </c>
      <c r="N1508" s="12" t="s">
        <v>12651</v>
      </c>
    </row>
    <row r="1509" spans="1:14">
      <c r="A1509" s="12" t="s">
        <v>10625</v>
      </c>
      <c r="B1509" s="8">
        <v>520.37730925030701</v>
      </c>
      <c r="C1509" s="12">
        <v>249.89945876137901</v>
      </c>
      <c r="D1509" s="8">
        <v>1.05821027874735</v>
      </c>
      <c r="E1509" s="12">
        <v>1.7707785307045699E-3</v>
      </c>
      <c r="F1509" s="8" t="s">
        <v>4945</v>
      </c>
      <c r="G1509" s="12" t="s">
        <v>4946</v>
      </c>
      <c r="H1509" s="12">
        <v>1</v>
      </c>
      <c r="I1509" s="13" t="str">
        <f>HYPERLINK("http://www.ncbi.nlm.nih.gov/gene/9096", "9096")</f>
        <v>9096</v>
      </c>
      <c r="J1509" s="13" t="str">
        <f>HYPERLINK("http://www.ncbi.nlm.nih.gov/nuccore/NM_001080508", "NM_001080508")</f>
        <v>NM_001080508</v>
      </c>
      <c r="K1509" s="12" t="s">
        <v>4947</v>
      </c>
      <c r="L1509" s="13" t="str">
        <f>HYPERLINK("http://asia.ensembl.org/Homo_sapiens/Gene/Summary?g=ENSG00000112837", "ENSG00000112837")</f>
        <v>ENSG00000112837</v>
      </c>
      <c r="M1509" s="12" t="s">
        <v>15650</v>
      </c>
      <c r="N1509" s="12" t="s">
        <v>15651</v>
      </c>
    </row>
    <row r="1510" spans="1:14">
      <c r="A1510" s="12" t="s">
        <v>10054</v>
      </c>
      <c r="B1510" s="8">
        <v>668.29549156180997</v>
      </c>
      <c r="C1510" s="12">
        <v>320.969606926003</v>
      </c>
      <c r="D1510" s="8">
        <v>1.0580494486015399</v>
      </c>
      <c r="E1510" s="12">
        <v>1.7896902000073399E-2</v>
      </c>
      <c r="F1510" s="8" t="s">
        <v>38</v>
      </c>
      <c r="G1510" s="12" t="s">
        <v>38</v>
      </c>
      <c r="H1510" s="12">
        <v>1</v>
      </c>
      <c r="I1510" s="12" t="s">
        <v>38</v>
      </c>
      <c r="J1510" s="12" t="s">
        <v>38</v>
      </c>
      <c r="K1510" s="12" t="s">
        <v>38</v>
      </c>
      <c r="L1510" s="12" t="s">
        <v>10055</v>
      </c>
      <c r="M1510" s="12" t="s">
        <v>10055</v>
      </c>
      <c r="N1510" s="12" t="s">
        <v>15272</v>
      </c>
    </row>
    <row r="1511" spans="1:14">
      <c r="A1511" s="12" t="s">
        <v>10309</v>
      </c>
      <c r="B1511" s="8">
        <v>362.50823830890999</v>
      </c>
      <c r="C1511" s="12">
        <v>174.10937762651</v>
      </c>
      <c r="D1511" s="8">
        <v>1.05801987254811</v>
      </c>
      <c r="E1511" s="12">
        <v>4.0488559173061801E-2</v>
      </c>
      <c r="F1511" s="8" t="s">
        <v>4832</v>
      </c>
      <c r="G1511" s="12" t="s">
        <v>4833</v>
      </c>
      <c r="H1511" s="12">
        <v>1</v>
      </c>
      <c r="I1511" s="13" t="str">
        <f>HYPERLINK("http://www.ncbi.nlm.nih.gov/gene/25963", "25963")</f>
        <v>25963</v>
      </c>
      <c r="J1511" s="13" t="str">
        <f>HYPERLINK("http://www.ncbi.nlm.nih.gov/nuccore/NM_001110503", "NM_001110503")</f>
        <v>NM_001110503</v>
      </c>
      <c r="K1511" s="12" t="s">
        <v>10310</v>
      </c>
      <c r="L1511" s="13" t="str">
        <f>HYPERLINK("http://asia.ensembl.org/Homo_sapiens/Gene/Summary?g=ENSG00000103978", "ENSG00000103978")</f>
        <v>ENSG00000103978</v>
      </c>
      <c r="M1511" s="12" t="s">
        <v>13413</v>
      </c>
      <c r="N1511" s="12" t="s">
        <v>13414</v>
      </c>
    </row>
    <row r="1512" spans="1:14">
      <c r="A1512" s="12" t="s">
        <v>10302</v>
      </c>
      <c r="B1512" s="8">
        <v>514.04439199001604</v>
      </c>
      <c r="C1512" s="12">
        <v>246.91623813644799</v>
      </c>
      <c r="D1512" s="8">
        <v>1.0578712368338199</v>
      </c>
      <c r="E1512" s="12">
        <v>6.66499927967405E-3</v>
      </c>
      <c r="F1512" s="8" t="s">
        <v>281</v>
      </c>
      <c r="G1512" s="12" t="s">
        <v>282</v>
      </c>
      <c r="H1512" s="12">
        <v>1</v>
      </c>
      <c r="I1512" s="13" t="str">
        <f>HYPERLINK("http://www.ncbi.nlm.nih.gov/gene/22909", "22909")</f>
        <v>22909</v>
      </c>
      <c r="J1512" s="12" t="s">
        <v>15381</v>
      </c>
      <c r="K1512" s="12" t="s">
        <v>15382</v>
      </c>
      <c r="L1512" s="13" t="str">
        <f>HYPERLINK("http://asia.ensembl.org/Homo_sapiens/Gene/Summary?g=ENSG00000198690", "ENSG00000198690")</f>
        <v>ENSG00000198690</v>
      </c>
      <c r="M1512" s="12" t="s">
        <v>15383</v>
      </c>
      <c r="N1512" s="12" t="s">
        <v>15384</v>
      </c>
    </row>
    <row r="1513" spans="1:14">
      <c r="A1513" s="12" t="s">
        <v>4333</v>
      </c>
      <c r="B1513" s="8">
        <v>1253.42152461155</v>
      </c>
      <c r="C1513" s="12">
        <v>602.50859914165403</v>
      </c>
      <c r="D1513" s="8">
        <v>1.0568179363188901</v>
      </c>
      <c r="E1513" s="12">
        <v>1.8753415591709201E-2</v>
      </c>
      <c r="F1513" s="8" t="s">
        <v>4334</v>
      </c>
      <c r="G1513" s="12" t="s">
        <v>13199</v>
      </c>
      <c r="H1513" s="12">
        <v>1</v>
      </c>
      <c r="I1513" s="13" t="str">
        <f>HYPERLINK("http://www.ncbi.nlm.nih.gov/gene/133308", "133308")</f>
        <v>133308</v>
      </c>
      <c r="J1513" s="13" t="str">
        <f>HYPERLINK("http://www.ncbi.nlm.nih.gov/nuccore/NM_178833", "NM_178833")</f>
        <v>NM_178833</v>
      </c>
      <c r="K1513" s="12" t="s">
        <v>4335</v>
      </c>
      <c r="L1513" s="13" t="str">
        <f>HYPERLINK("http://asia.ensembl.org/Homo_sapiens/Gene/Summary?g=ENSG00000164038", "ENSG00000164038")</f>
        <v>ENSG00000164038</v>
      </c>
      <c r="M1513" s="12" t="s">
        <v>13200</v>
      </c>
      <c r="N1513" s="12" t="s">
        <v>13201</v>
      </c>
    </row>
    <row r="1514" spans="1:14">
      <c r="A1514" s="12" t="s">
        <v>10480</v>
      </c>
      <c r="B1514" s="8">
        <v>222.334282299948</v>
      </c>
      <c r="C1514" s="12">
        <v>106.89400980886199</v>
      </c>
      <c r="D1514" s="8">
        <v>1.05654940970234</v>
      </c>
      <c r="E1514" s="12">
        <v>3.53807973127371E-3</v>
      </c>
      <c r="F1514" s="8" t="s">
        <v>6815</v>
      </c>
      <c r="G1514" s="12" t="s">
        <v>6816</v>
      </c>
      <c r="H1514" s="12">
        <v>1</v>
      </c>
      <c r="I1514" s="13" t="str">
        <f>HYPERLINK("http://www.ncbi.nlm.nih.gov/gene/284349", "284349")</f>
        <v>284349</v>
      </c>
      <c r="J1514" s="13" t="str">
        <f>HYPERLINK("http://www.ncbi.nlm.nih.gov/nuccore/NM_181845", "NM_181845")</f>
        <v>NM_181845</v>
      </c>
      <c r="K1514" s="12" t="s">
        <v>6817</v>
      </c>
      <c r="L1514" s="13" t="str">
        <f>HYPERLINK("http://asia.ensembl.org/Homo_sapiens/Gene/Summary?g=ENSG00000167637", "ENSG00000167637")</f>
        <v>ENSG00000167637</v>
      </c>
      <c r="M1514" s="12" t="s">
        <v>15448</v>
      </c>
      <c r="N1514" s="12" t="s">
        <v>15449</v>
      </c>
    </row>
    <row r="1515" spans="1:14">
      <c r="A1515" s="12" t="s">
        <v>4756</v>
      </c>
      <c r="B1515" s="8">
        <v>455.36084592453199</v>
      </c>
      <c r="C1515" s="12">
        <v>218.96221604514699</v>
      </c>
      <c r="D1515" s="8">
        <v>1.0563283061411</v>
      </c>
      <c r="E1515" s="12">
        <v>1.0394414199854599E-3</v>
      </c>
      <c r="F1515" s="8" t="s">
        <v>4757</v>
      </c>
      <c r="G1515" s="12" t="s">
        <v>4758</v>
      </c>
      <c r="H1515" s="12">
        <v>1</v>
      </c>
      <c r="I1515" s="13" t="str">
        <f>HYPERLINK("http://www.ncbi.nlm.nih.gov/gene/7905", "7905")</f>
        <v>7905</v>
      </c>
      <c r="J1515" s="13" t="str">
        <f>HYPERLINK("http://www.ncbi.nlm.nih.gov/nuccore/NM_005669", "NM_005669")</f>
        <v>NM_005669</v>
      </c>
      <c r="K1515" s="12" t="s">
        <v>4759</v>
      </c>
      <c r="L1515" s="13" t="str">
        <f>HYPERLINK("http://asia.ensembl.org/Homo_sapiens/Gene/Summary?g=ENSG00000129625", "ENSG00000129625")</f>
        <v>ENSG00000129625</v>
      </c>
      <c r="M1515" s="12" t="s">
        <v>13373</v>
      </c>
      <c r="N1515" s="12" t="s">
        <v>13374</v>
      </c>
    </row>
    <row r="1516" spans="1:14">
      <c r="A1516" s="12" t="s">
        <v>8015</v>
      </c>
      <c r="B1516" s="8">
        <v>3241.3006194698701</v>
      </c>
      <c r="C1516" s="12">
        <v>1558.6349443773099</v>
      </c>
      <c r="D1516" s="8">
        <v>1.0562897650202101</v>
      </c>
      <c r="E1516" s="12">
        <v>4.8821683269841404E-3</v>
      </c>
      <c r="F1516" s="8" t="s">
        <v>8016</v>
      </c>
      <c r="G1516" s="12" t="s">
        <v>8017</v>
      </c>
      <c r="H1516" s="12">
        <v>1</v>
      </c>
      <c r="I1516" s="13" t="str">
        <f>HYPERLINK("http://www.ncbi.nlm.nih.gov/gene/113146", "113146")</f>
        <v>113146</v>
      </c>
      <c r="J1516" s="13" t="str">
        <f>HYPERLINK("http://www.ncbi.nlm.nih.gov/nuccore/NM_138420", "NM_138420")</f>
        <v>NM_138420</v>
      </c>
      <c r="K1516" s="12" t="s">
        <v>8018</v>
      </c>
      <c r="L1516" s="13" t="str">
        <f>HYPERLINK("http://asia.ensembl.org/Homo_sapiens/Gene/Summary?g=ENSG00000185567", "ENSG00000185567")</f>
        <v>ENSG00000185567</v>
      </c>
      <c r="M1516" s="12" t="s">
        <v>14649</v>
      </c>
      <c r="N1516" s="12" t="s">
        <v>14650</v>
      </c>
    </row>
    <row r="1517" spans="1:14">
      <c r="A1517" s="12" t="s">
        <v>4645</v>
      </c>
      <c r="B1517" s="8">
        <v>6355.3462223459301</v>
      </c>
      <c r="C1517" s="12">
        <v>3056.31763041469</v>
      </c>
      <c r="D1517" s="8">
        <v>1.0561762370799399</v>
      </c>
      <c r="E1517" s="12">
        <v>6.7827844778742003E-3</v>
      </c>
      <c r="F1517" s="8" t="s">
        <v>4646</v>
      </c>
      <c r="G1517" s="12" t="s">
        <v>4647</v>
      </c>
      <c r="H1517" s="12">
        <v>1</v>
      </c>
      <c r="I1517" s="13" t="str">
        <f>HYPERLINK("http://www.ncbi.nlm.nih.gov/gene/10988", "10988")</f>
        <v>10988</v>
      </c>
      <c r="J1517" s="13" t="str">
        <f>HYPERLINK("http://www.ncbi.nlm.nih.gov/nuccore/NM_006838", "NM_006838")</f>
        <v>NM_006838</v>
      </c>
      <c r="K1517" s="12" t="s">
        <v>4648</v>
      </c>
      <c r="L1517" s="13" t="str">
        <f>HYPERLINK("http://asia.ensembl.org/Homo_sapiens/Gene/Summary?g=ENSG00000111142", "ENSG00000111142")</f>
        <v>ENSG00000111142</v>
      </c>
      <c r="M1517" s="12" t="s">
        <v>13334</v>
      </c>
      <c r="N1517" s="12" t="s">
        <v>13335</v>
      </c>
    </row>
    <row r="1518" spans="1:14">
      <c r="A1518" s="12" t="s">
        <v>11333</v>
      </c>
      <c r="B1518" s="8">
        <v>470.56501604835802</v>
      </c>
      <c r="C1518" s="12">
        <v>226.364870340919</v>
      </c>
      <c r="D1518" s="8">
        <v>1.0557439849200101</v>
      </c>
      <c r="E1518" s="12">
        <v>1.4433762407845901E-3</v>
      </c>
      <c r="F1518" s="8" t="s">
        <v>11236</v>
      </c>
      <c r="G1518" s="12" t="s">
        <v>16112</v>
      </c>
      <c r="H1518" s="12">
        <v>4</v>
      </c>
      <c r="I1518" s="12" t="s">
        <v>11237</v>
      </c>
      <c r="J1518" s="12" t="s">
        <v>11238</v>
      </c>
      <c r="K1518" s="12" t="s">
        <v>11239</v>
      </c>
      <c r="L1518" s="12" t="s">
        <v>11240</v>
      </c>
      <c r="M1518" s="12" t="s">
        <v>11241</v>
      </c>
      <c r="N1518" s="12" t="s">
        <v>11242</v>
      </c>
    </row>
    <row r="1519" spans="1:14">
      <c r="A1519" s="12" t="s">
        <v>5651</v>
      </c>
      <c r="B1519" s="8">
        <v>160.44472096191299</v>
      </c>
      <c r="C1519" s="12">
        <v>77.188176431286607</v>
      </c>
      <c r="D1519" s="8">
        <v>1.05562454240188</v>
      </c>
      <c r="E1519" s="12">
        <v>9.6837123217325093E-3</v>
      </c>
      <c r="F1519" s="8" t="s">
        <v>5652</v>
      </c>
      <c r="G1519" s="12" t="s">
        <v>319</v>
      </c>
      <c r="H1519" s="12">
        <v>1</v>
      </c>
      <c r="I1519" s="13" t="str">
        <f>HYPERLINK("http://www.ncbi.nlm.nih.gov/gene/23365", "23365")</f>
        <v>23365</v>
      </c>
      <c r="J1519" s="12" t="s">
        <v>13856</v>
      </c>
      <c r="K1519" s="12" t="s">
        <v>13857</v>
      </c>
      <c r="L1519" s="13" t="str">
        <f>HYPERLINK("http://asia.ensembl.org/Homo_sapiens/Gene/Summary?g=ENSG00000196914", "ENSG00000196914")</f>
        <v>ENSG00000196914</v>
      </c>
      <c r="M1519" s="12" t="s">
        <v>13858</v>
      </c>
      <c r="N1519" s="12" t="s">
        <v>13859</v>
      </c>
    </row>
    <row r="1520" spans="1:14">
      <c r="A1520" s="12" t="s">
        <v>6061</v>
      </c>
      <c r="B1520" s="8">
        <v>1837.76045309133</v>
      </c>
      <c r="C1520" s="12">
        <v>884.18243069324205</v>
      </c>
      <c r="D1520" s="8">
        <v>1.0555327552821101</v>
      </c>
      <c r="E1520" s="12">
        <v>6.0388328198534803E-3</v>
      </c>
      <c r="F1520" s="8" t="s">
        <v>6062</v>
      </c>
      <c r="G1520" s="12" t="s">
        <v>6063</v>
      </c>
      <c r="H1520" s="12">
        <v>1</v>
      </c>
      <c r="I1520" s="13" t="str">
        <f>HYPERLINK("http://www.ncbi.nlm.nih.gov/gene/988", "988")</f>
        <v>988</v>
      </c>
      <c r="J1520" s="13" t="str">
        <f>HYPERLINK("http://www.ncbi.nlm.nih.gov/nuccore/NM_001253", "NM_001253")</f>
        <v>NM_001253</v>
      </c>
      <c r="K1520" s="12" t="s">
        <v>6064</v>
      </c>
      <c r="L1520" s="13" t="str">
        <f>HYPERLINK("http://asia.ensembl.org/Homo_sapiens/Gene/Summary?g=ENSG00000096401", "ENSG00000096401")</f>
        <v>ENSG00000096401</v>
      </c>
      <c r="M1520" s="12" t="s">
        <v>6065</v>
      </c>
      <c r="N1520" s="12" t="s">
        <v>6066</v>
      </c>
    </row>
    <row r="1521" spans="1:14">
      <c r="A1521" s="12" t="s">
        <v>3238</v>
      </c>
      <c r="B1521" s="8">
        <v>117.53635764347101</v>
      </c>
      <c r="C1521" s="12">
        <v>56.5527937787977</v>
      </c>
      <c r="D1521" s="8">
        <v>1.0554368941521399</v>
      </c>
      <c r="E1521" s="12">
        <v>1.471000275128E-2</v>
      </c>
      <c r="F1521" s="8" t="s">
        <v>3239</v>
      </c>
      <c r="G1521" s="12" t="s">
        <v>3240</v>
      </c>
      <c r="H1521" s="12">
        <v>1</v>
      </c>
      <c r="I1521" s="13" t="str">
        <f>HYPERLINK("http://www.ncbi.nlm.nih.gov/gene/51276", "51276")</f>
        <v>51276</v>
      </c>
      <c r="J1521" s="13" t="str">
        <f>HYPERLINK("http://www.ncbi.nlm.nih.gov/nuccore/NM_016536", "NM_016536")</f>
        <v>NM_016536</v>
      </c>
      <c r="K1521" s="12" t="s">
        <v>3241</v>
      </c>
      <c r="L1521" s="13" t="str">
        <f>HYPERLINK("http://asia.ensembl.org/Homo_sapiens/Gene/Summary?g=ENSG00000180479", "ENSG00000180479")</f>
        <v>ENSG00000180479</v>
      </c>
      <c r="M1521" s="12" t="s">
        <v>12922</v>
      </c>
      <c r="N1521" s="12" t="s">
        <v>12923</v>
      </c>
    </row>
    <row r="1522" spans="1:14">
      <c r="A1522" s="12" t="s">
        <v>6448</v>
      </c>
      <c r="B1522" s="8">
        <v>108166.91340935</v>
      </c>
      <c r="C1522" s="12">
        <v>52068.472495092901</v>
      </c>
      <c r="D1522" s="8">
        <v>1.0547772795910999</v>
      </c>
      <c r="E1522" s="12">
        <v>5.4750892118208801E-3</v>
      </c>
      <c r="F1522" s="8" t="s">
        <v>6449</v>
      </c>
      <c r="G1522" s="12" t="s">
        <v>14186</v>
      </c>
      <c r="H1522" s="12">
        <v>1</v>
      </c>
      <c r="I1522" s="13" t="str">
        <f>HYPERLINK("http://www.ncbi.nlm.nih.gov/gene/3688", "3688")</f>
        <v>3688</v>
      </c>
      <c r="J1522" s="12" t="s">
        <v>14187</v>
      </c>
      <c r="K1522" s="12" t="s">
        <v>14188</v>
      </c>
      <c r="L1522" s="13" t="str">
        <f>HYPERLINK("http://asia.ensembl.org/Homo_sapiens/Gene/Summary?g=ENSG00000150093", "ENSG00000150093")</f>
        <v>ENSG00000150093</v>
      </c>
      <c r="M1522" s="12" t="s">
        <v>14189</v>
      </c>
      <c r="N1522" s="12" t="s">
        <v>14190</v>
      </c>
    </row>
    <row r="1523" spans="1:14">
      <c r="A1523" s="12" t="s">
        <v>10786</v>
      </c>
      <c r="B1523" s="8">
        <v>1285.3137735979201</v>
      </c>
      <c r="C1523" s="12">
        <v>618.78270635984995</v>
      </c>
      <c r="D1523" s="8">
        <v>1.0546158140183499</v>
      </c>
      <c r="E1523" s="12">
        <v>8.9318482520691599E-3</v>
      </c>
      <c r="F1523" s="8" t="s">
        <v>4904</v>
      </c>
      <c r="G1523" s="12" t="s">
        <v>4905</v>
      </c>
      <c r="H1523" s="12">
        <v>1</v>
      </c>
      <c r="I1523" s="13" t="str">
        <f>HYPERLINK("http://www.ncbi.nlm.nih.gov/gene/55610", "55610")</f>
        <v>55610</v>
      </c>
      <c r="J1523" s="12" t="s">
        <v>15882</v>
      </c>
      <c r="K1523" s="12" t="s">
        <v>15883</v>
      </c>
      <c r="L1523" s="13" t="str">
        <f>HYPERLINK("http://asia.ensembl.org/Homo_sapiens/Gene/Summary?g=ENSG00000004766", "ENSG00000004766")</f>
        <v>ENSG00000004766</v>
      </c>
      <c r="M1523" s="12" t="s">
        <v>15884</v>
      </c>
      <c r="N1523" s="12" t="s">
        <v>15885</v>
      </c>
    </row>
    <row r="1524" spans="1:14">
      <c r="A1524" s="12" t="s">
        <v>4439</v>
      </c>
      <c r="B1524" s="8">
        <v>149.29751982039301</v>
      </c>
      <c r="C1524" s="12">
        <v>71.879677560724801</v>
      </c>
      <c r="D1524" s="8">
        <v>1.0545343568408501</v>
      </c>
      <c r="E1524" s="12">
        <v>2.40368212178922E-4</v>
      </c>
      <c r="F1524" s="8" t="s">
        <v>4440</v>
      </c>
      <c r="G1524" s="12" t="s">
        <v>4441</v>
      </c>
      <c r="H1524" s="12">
        <v>1</v>
      </c>
      <c r="I1524" s="13" t="str">
        <f>HYPERLINK("http://www.ncbi.nlm.nih.gov/gene/221336", "221336")</f>
        <v>221336</v>
      </c>
      <c r="J1524" s="13" t="str">
        <f>HYPERLINK("http://www.ncbi.nlm.nih.gov/nuccore/NM_152731", "NM_152731")</f>
        <v>NM_152731</v>
      </c>
      <c r="K1524" s="12" t="s">
        <v>4442</v>
      </c>
      <c r="L1524" s="13" t="str">
        <f>HYPERLINK("http://asia.ensembl.org/Homo_sapiens/Gene/Summary?g=ENSG00000151917", "ENSG00000151917")</f>
        <v>ENSG00000151917</v>
      </c>
      <c r="M1524" s="12" t="s">
        <v>13233</v>
      </c>
      <c r="N1524" s="12" t="s">
        <v>13234</v>
      </c>
    </row>
    <row r="1525" spans="1:14">
      <c r="A1525" s="12" t="s">
        <v>2490</v>
      </c>
      <c r="B1525" s="8">
        <v>190.69984454462201</v>
      </c>
      <c r="C1525" s="12">
        <v>91.822402331636297</v>
      </c>
      <c r="D1525" s="8">
        <v>1.0543855849836901</v>
      </c>
      <c r="E1525" s="12">
        <v>9.29772492564525E-3</v>
      </c>
      <c r="F1525" s="8" t="s">
        <v>2491</v>
      </c>
      <c r="G1525" s="12" t="s">
        <v>2492</v>
      </c>
      <c r="H1525" s="12">
        <v>1</v>
      </c>
      <c r="I1525" s="13" t="str">
        <f>HYPERLINK("http://www.ncbi.nlm.nih.gov/gene/10495", "10495")</f>
        <v>10495</v>
      </c>
      <c r="J1525" s="12" t="s">
        <v>12666</v>
      </c>
      <c r="K1525" s="12" t="s">
        <v>12667</v>
      </c>
      <c r="L1525" s="13" t="str">
        <f>HYPERLINK("http://asia.ensembl.org/Homo_sapiens/Gene/Summary?g=ENSG00000165675", "ENSG00000165675")</f>
        <v>ENSG00000165675</v>
      </c>
      <c r="M1525" s="12" t="s">
        <v>12668</v>
      </c>
      <c r="N1525" s="12" t="s">
        <v>12669</v>
      </c>
    </row>
    <row r="1526" spans="1:14">
      <c r="A1526" s="12" t="s">
        <v>4634</v>
      </c>
      <c r="B1526" s="8">
        <v>109.090662749757</v>
      </c>
      <c r="C1526" s="12">
        <v>52.528538145382797</v>
      </c>
      <c r="D1526" s="8">
        <v>1.0543542839293101</v>
      </c>
      <c r="E1526" s="12">
        <v>1.4711930684396901E-3</v>
      </c>
      <c r="F1526" s="8" t="s">
        <v>4635</v>
      </c>
      <c r="G1526" s="12" t="s">
        <v>4636</v>
      </c>
      <c r="H1526" s="12">
        <v>1</v>
      </c>
      <c r="I1526" s="13" t="str">
        <f>HYPERLINK("http://www.ncbi.nlm.nih.gov/gene/10274", "10274")</f>
        <v>10274</v>
      </c>
      <c r="J1526" s="13" t="str">
        <f>HYPERLINK("http://www.ncbi.nlm.nih.gov/nuccore/NM_005862", "NM_005862")</f>
        <v>NM_005862</v>
      </c>
      <c r="K1526" s="12" t="s">
        <v>4637</v>
      </c>
      <c r="L1526" s="13" t="str">
        <f>HYPERLINK("http://asia.ensembl.org/Homo_sapiens/Gene/Summary?g=ENSG00000118007", "ENSG00000118007")</f>
        <v>ENSG00000118007</v>
      </c>
      <c r="M1526" s="12" t="s">
        <v>13327</v>
      </c>
      <c r="N1526" s="12" t="s">
        <v>13328</v>
      </c>
    </row>
    <row r="1527" spans="1:14">
      <c r="A1527" s="12" t="s">
        <v>4911</v>
      </c>
      <c r="B1527" s="8">
        <v>1871.6915110234099</v>
      </c>
      <c r="C1527" s="12">
        <v>901.28914283409699</v>
      </c>
      <c r="D1527" s="8">
        <v>1.0542807551717801</v>
      </c>
      <c r="E1527" s="12">
        <v>1.2011547602314401E-2</v>
      </c>
      <c r="F1527" s="8" t="s">
        <v>4912</v>
      </c>
      <c r="G1527" s="12" t="s">
        <v>13467</v>
      </c>
      <c r="H1527" s="12">
        <v>1</v>
      </c>
      <c r="I1527" s="13" t="str">
        <f>HYPERLINK("http://www.ncbi.nlm.nih.gov/gene/9867", "9867")</f>
        <v>9867</v>
      </c>
      <c r="J1527" s="13" t="str">
        <f>HYPERLINK("http://www.ncbi.nlm.nih.gov/nuccore/NM_014819", "NM_014819")</f>
        <v>NM_014819</v>
      </c>
      <c r="K1527" s="12" t="s">
        <v>4913</v>
      </c>
      <c r="L1527" s="13" t="str">
        <f>HYPERLINK("http://asia.ensembl.org/Homo_sapiens/Gene/Summary?g=ENSG00000198961", "ENSG00000198961")</f>
        <v>ENSG00000198961</v>
      </c>
      <c r="M1527" s="12" t="s">
        <v>13468</v>
      </c>
      <c r="N1527" s="12" t="s">
        <v>13469</v>
      </c>
    </row>
    <row r="1528" spans="1:14">
      <c r="A1528" s="12" t="s">
        <v>996</v>
      </c>
      <c r="B1528" s="8">
        <v>729.32398710370705</v>
      </c>
      <c r="C1528" s="12">
        <v>351.31986578256198</v>
      </c>
      <c r="D1528" s="8">
        <v>1.0537746866878399</v>
      </c>
      <c r="E1528" s="12">
        <v>6.0577744750447502E-3</v>
      </c>
      <c r="F1528" s="8" t="s">
        <v>997</v>
      </c>
      <c r="G1528" s="12" t="s">
        <v>998</v>
      </c>
      <c r="H1528" s="12">
        <v>1</v>
      </c>
      <c r="I1528" s="13" t="str">
        <f>HYPERLINK("http://www.ncbi.nlm.nih.gov/gene/54834", "54834")</f>
        <v>54834</v>
      </c>
      <c r="J1528" s="13" t="str">
        <f>HYPERLINK("http://www.ncbi.nlm.nih.gov/nuccore/NM_017686", "NM_017686")</f>
        <v>NM_017686</v>
      </c>
      <c r="K1528" s="12" t="s">
        <v>999</v>
      </c>
      <c r="L1528" s="13" t="str">
        <f>HYPERLINK("http://asia.ensembl.org/Homo_sapiens/Gene/Summary?g=ENSG00000196505", "ENSG00000196505")</f>
        <v>ENSG00000196505</v>
      </c>
      <c r="M1528" s="12" t="s">
        <v>12191</v>
      </c>
      <c r="N1528" s="12" t="s">
        <v>12192</v>
      </c>
    </row>
    <row r="1529" spans="1:14">
      <c r="A1529" s="12" t="s">
        <v>5599</v>
      </c>
      <c r="B1529" s="8">
        <v>2172.9012500088702</v>
      </c>
      <c r="C1529" s="12">
        <v>1046.72573346997</v>
      </c>
      <c r="D1529" s="8">
        <v>1.05373913900636</v>
      </c>
      <c r="E1529" s="12">
        <v>1.68612916062476E-3</v>
      </c>
      <c r="F1529" s="8" t="s">
        <v>5600</v>
      </c>
      <c r="G1529" s="12" t="s">
        <v>13838</v>
      </c>
      <c r="H1529" s="12">
        <v>1</v>
      </c>
      <c r="I1529" s="13" t="str">
        <f>HYPERLINK("http://www.ncbi.nlm.nih.gov/gene/5411", "5411")</f>
        <v>5411</v>
      </c>
      <c r="J1529" s="13" t="str">
        <f>HYPERLINK("http://www.ncbi.nlm.nih.gov/nuccore/NM_002687", "NM_002687")</f>
        <v>NM_002687</v>
      </c>
      <c r="K1529" s="12" t="s">
        <v>5601</v>
      </c>
      <c r="L1529" s="13" t="str">
        <f>HYPERLINK("http://asia.ensembl.org/Homo_sapiens/Gene/Summary?g=ENSG00000100941", "ENSG00000100941")</f>
        <v>ENSG00000100941</v>
      </c>
      <c r="M1529" s="12" t="s">
        <v>13839</v>
      </c>
      <c r="N1529" s="12" t="s">
        <v>13840</v>
      </c>
    </row>
    <row r="1530" spans="1:14">
      <c r="A1530" s="12" t="s">
        <v>10910</v>
      </c>
      <c r="B1530" s="8">
        <v>405.613110818704</v>
      </c>
      <c r="C1530" s="12">
        <v>195.400126867301</v>
      </c>
      <c r="D1530" s="8">
        <v>1.05367288198457</v>
      </c>
      <c r="E1530" s="12">
        <v>4.1588406086239598E-3</v>
      </c>
      <c r="F1530" s="8" t="s">
        <v>10911</v>
      </c>
      <c r="G1530" s="12" t="s">
        <v>10912</v>
      </c>
      <c r="H1530" s="12">
        <v>4</v>
      </c>
      <c r="I1530" s="12" t="s">
        <v>10913</v>
      </c>
      <c r="J1530" s="12" t="s">
        <v>10914</v>
      </c>
      <c r="K1530" s="12" t="s">
        <v>10915</v>
      </c>
      <c r="L1530" s="12" t="s">
        <v>10916</v>
      </c>
      <c r="M1530" s="12" t="s">
        <v>15949</v>
      </c>
      <c r="N1530" s="12" t="s">
        <v>15950</v>
      </c>
    </row>
    <row r="1531" spans="1:14">
      <c r="A1531" s="12" t="s">
        <v>10614</v>
      </c>
      <c r="B1531" s="8">
        <v>622.56064679530698</v>
      </c>
      <c r="C1531" s="12">
        <v>299.96958524589701</v>
      </c>
      <c r="D1531" s="8">
        <v>1.0533981550229501</v>
      </c>
      <c r="E1531" s="12">
        <v>3.9790328643335296E-3</v>
      </c>
      <c r="F1531" s="8" t="s">
        <v>8874</v>
      </c>
      <c r="G1531" s="12" t="s">
        <v>8875</v>
      </c>
      <c r="H1531" s="12">
        <v>1</v>
      </c>
      <c r="I1531" s="13" t="str">
        <f>HYPERLINK("http://www.ncbi.nlm.nih.gov/gene/153579", "153579")</f>
        <v>153579</v>
      </c>
      <c r="J1531" s="13" t="str">
        <f>HYPERLINK("http://www.ncbi.nlm.nih.gov/nuccore/NM_152547", "NM_152547")</f>
        <v>NM_152547</v>
      </c>
      <c r="K1531" s="12" t="s">
        <v>8876</v>
      </c>
      <c r="L1531" s="13" t="str">
        <f>HYPERLINK("http://asia.ensembl.org/Homo_sapiens/Gene/Summary?g=ENSG00000165810", "ENSG00000165810")</f>
        <v>ENSG00000165810</v>
      </c>
      <c r="M1531" s="12" t="s">
        <v>15633</v>
      </c>
      <c r="N1531" s="12" t="s">
        <v>15634</v>
      </c>
    </row>
    <row r="1532" spans="1:14">
      <c r="A1532" s="12" t="s">
        <v>5432</v>
      </c>
      <c r="B1532" s="8">
        <v>4303.37595058018</v>
      </c>
      <c r="C1532" s="12">
        <v>2074.3900594206398</v>
      </c>
      <c r="D1532" s="8">
        <v>1.05278168434303</v>
      </c>
      <c r="E1532" s="12">
        <v>2.7398408000531402E-4</v>
      </c>
      <c r="F1532" s="8" t="s">
        <v>5433</v>
      </c>
      <c r="G1532" s="12" t="s">
        <v>5434</v>
      </c>
      <c r="H1532" s="12">
        <v>1</v>
      </c>
      <c r="I1532" s="13" t="str">
        <f>HYPERLINK("http://www.ncbi.nlm.nih.gov/gene/7874", "7874")</f>
        <v>7874</v>
      </c>
      <c r="J1532" s="13" t="str">
        <f>HYPERLINK("http://www.ncbi.nlm.nih.gov/nuccore/NM_003470", "NM_003470")</f>
        <v>NM_003470</v>
      </c>
      <c r="K1532" s="12" t="s">
        <v>5435</v>
      </c>
      <c r="L1532" s="13" t="str">
        <f>HYPERLINK("http://asia.ensembl.org/Homo_sapiens/Gene/Summary?g=ENSG00000187555", "ENSG00000187555")</f>
        <v>ENSG00000187555</v>
      </c>
      <c r="M1532" s="12" t="s">
        <v>13750</v>
      </c>
      <c r="N1532" s="12" t="s">
        <v>13751</v>
      </c>
    </row>
    <row r="1533" spans="1:14">
      <c r="A1533" s="12" t="s">
        <v>1835</v>
      </c>
      <c r="B1533" s="8">
        <v>893.15847938291097</v>
      </c>
      <c r="C1533" s="12">
        <v>430.594601046452</v>
      </c>
      <c r="D1533" s="8">
        <v>1.05258595499793</v>
      </c>
      <c r="E1533" s="12">
        <v>6.23909689263661E-3</v>
      </c>
      <c r="F1533" s="8" t="s">
        <v>1836</v>
      </c>
      <c r="G1533" s="12" t="s">
        <v>448</v>
      </c>
      <c r="H1533" s="12">
        <v>1</v>
      </c>
      <c r="I1533" s="13" t="str">
        <f>HYPERLINK("http://www.ncbi.nlm.nih.gov/gene/8505", "8505")</f>
        <v>8505</v>
      </c>
      <c r="J1533" s="13" t="str">
        <f>HYPERLINK("http://www.ncbi.nlm.nih.gov/nuccore/NM_003631", "NM_003631")</f>
        <v>NM_003631</v>
      </c>
      <c r="K1533" s="12" t="s">
        <v>1837</v>
      </c>
      <c r="L1533" s="13" t="str">
        <f>HYPERLINK("http://asia.ensembl.org/Homo_sapiens/Gene/Summary?g=ENSG00000227345", "ENSG00000227345")</f>
        <v>ENSG00000227345</v>
      </c>
      <c r="M1533" s="12" t="s">
        <v>12439</v>
      </c>
      <c r="N1533" s="12" t="s">
        <v>12440</v>
      </c>
    </row>
    <row r="1534" spans="1:14">
      <c r="A1534" s="12" t="s">
        <v>9603</v>
      </c>
      <c r="B1534" s="8">
        <v>3800.3420656130402</v>
      </c>
      <c r="C1534" s="12">
        <v>1832.7233236566301</v>
      </c>
      <c r="D1534" s="8">
        <v>1.0521402737393399</v>
      </c>
      <c r="E1534" s="12">
        <v>5.34818599299505E-3</v>
      </c>
      <c r="F1534" s="8" t="s">
        <v>1098</v>
      </c>
      <c r="G1534" s="12" t="s">
        <v>1099</v>
      </c>
      <c r="H1534" s="12">
        <v>1</v>
      </c>
      <c r="I1534" s="13" t="str">
        <f>HYPERLINK("http://www.ncbi.nlm.nih.gov/gene/147339", "147339")</f>
        <v>147339</v>
      </c>
      <c r="J1534" s="12" t="s">
        <v>15100</v>
      </c>
      <c r="K1534" s="12" t="s">
        <v>15101</v>
      </c>
      <c r="L1534" s="13" t="str">
        <f>HYPERLINK("http://asia.ensembl.org/Homo_sapiens/Gene/Summary?g=ENSG00000152242", "ENSG00000152242")</f>
        <v>ENSG00000152242</v>
      </c>
      <c r="M1534" s="12" t="s">
        <v>15102</v>
      </c>
      <c r="N1534" s="12" t="s">
        <v>15103</v>
      </c>
    </row>
    <row r="1535" spans="1:14">
      <c r="A1535" s="12" t="s">
        <v>10588</v>
      </c>
      <c r="B1535" s="8">
        <v>135.65003323811601</v>
      </c>
      <c r="C1535" s="12">
        <v>65.4182747835642</v>
      </c>
      <c r="D1535" s="8">
        <v>1.0521237829653001</v>
      </c>
      <c r="E1535" s="12">
        <v>1.1466997731332501E-3</v>
      </c>
      <c r="F1535" s="8" t="s">
        <v>10589</v>
      </c>
      <c r="G1535" s="12" t="s">
        <v>10590</v>
      </c>
      <c r="H1535" s="12">
        <v>1</v>
      </c>
      <c r="I1535" s="13" t="str">
        <f>HYPERLINK("http://www.ncbi.nlm.nih.gov/gene/90268", "90268")</f>
        <v>90268</v>
      </c>
      <c r="J1535" s="13" t="str">
        <f>HYPERLINK("http://www.ncbi.nlm.nih.gov/nuccore/NM_138348", "NM_138348")</f>
        <v>NM_138348</v>
      </c>
      <c r="K1535" s="12" t="s">
        <v>10591</v>
      </c>
      <c r="L1535" s="13" t="str">
        <f>HYPERLINK("http://asia.ensembl.org/Homo_sapiens/Gene/Summary?g=ENSG00000154124", "ENSG00000154124")</f>
        <v>ENSG00000154124</v>
      </c>
      <c r="M1535" s="12" t="s">
        <v>15603</v>
      </c>
      <c r="N1535" s="12" t="s">
        <v>15604</v>
      </c>
    </row>
    <row r="1536" spans="1:14">
      <c r="A1536" s="12" t="s">
        <v>5967</v>
      </c>
      <c r="B1536" s="8">
        <v>1173.7782984928001</v>
      </c>
      <c r="C1536" s="12">
        <v>566.30707925351999</v>
      </c>
      <c r="D1536" s="8">
        <v>1.05150347027933</v>
      </c>
      <c r="E1536" s="12">
        <v>1.87495761893834E-3</v>
      </c>
      <c r="F1536" s="8" t="s">
        <v>5968</v>
      </c>
      <c r="G1536" s="12" t="s">
        <v>5969</v>
      </c>
      <c r="H1536" s="12">
        <v>1</v>
      </c>
      <c r="I1536" s="13" t="str">
        <f>HYPERLINK("http://www.ncbi.nlm.nih.gov/gene/64750", "64750")</f>
        <v>64750</v>
      </c>
      <c r="J1536" s="13" t="str">
        <f>HYPERLINK("http://www.ncbi.nlm.nih.gov/nuccore/NM_022739", "NM_022739")</f>
        <v>NM_022739</v>
      </c>
      <c r="K1536" s="12" t="s">
        <v>5970</v>
      </c>
      <c r="L1536" s="13" t="str">
        <f>HYPERLINK("http://asia.ensembl.org/Homo_sapiens/Gene/Summary?g=ENSG00000108854", "ENSG00000108854")</f>
        <v>ENSG00000108854</v>
      </c>
      <c r="M1536" s="12" t="s">
        <v>13987</v>
      </c>
      <c r="N1536" s="12" t="s">
        <v>13988</v>
      </c>
    </row>
    <row r="1537" spans="1:14">
      <c r="A1537" s="12" t="s">
        <v>10536</v>
      </c>
      <c r="B1537" s="8">
        <v>153.432522776723</v>
      </c>
      <c r="C1537" s="12">
        <v>74.115818814917503</v>
      </c>
      <c r="D1537" s="8">
        <v>1.0497509200825801</v>
      </c>
      <c r="E1537" s="12">
        <v>1.0559490175461801E-2</v>
      </c>
      <c r="F1537" s="8" t="s">
        <v>5600</v>
      </c>
      <c r="G1537" s="12" t="s">
        <v>13838</v>
      </c>
      <c r="H1537" s="12">
        <v>1</v>
      </c>
      <c r="I1537" s="13" t="str">
        <f>HYPERLINK("http://www.ncbi.nlm.nih.gov/gene/5411", "5411")</f>
        <v>5411</v>
      </c>
      <c r="J1537" s="13" t="str">
        <f>HYPERLINK("http://www.ncbi.nlm.nih.gov/nuccore/NM_002687", "NM_002687")</f>
        <v>NM_002687</v>
      </c>
      <c r="K1537" s="12" t="s">
        <v>5601</v>
      </c>
      <c r="L1537" s="13" t="str">
        <f>HYPERLINK("http://asia.ensembl.org/Homo_sapiens/Gene/Summary?g=ENSG00000100941", "ENSG00000100941")</f>
        <v>ENSG00000100941</v>
      </c>
      <c r="M1537" s="12" t="s">
        <v>13839</v>
      </c>
      <c r="N1537" s="12" t="s">
        <v>13840</v>
      </c>
    </row>
    <row r="1538" spans="1:14">
      <c r="A1538" s="12" t="s">
        <v>5310</v>
      </c>
      <c r="B1538" s="8">
        <v>563.84015415637896</v>
      </c>
      <c r="C1538" s="12">
        <v>272.37536815338098</v>
      </c>
      <c r="D1538" s="8">
        <v>1.0496899824636901</v>
      </c>
      <c r="E1538" s="12">
        <v>2.28661895470962E-2</v>
      </c>
      <c r="F1538" s="8" t="s">
        <v>38</v>
      </c>
      <c r="G1538" s="12" t="s">
        <v>38</v>
      </c>
      <c r="H1538" s="12">
        <v>1</v>
      </c>
      <c r="I1538" s="12" t="s">
        <v>38</v>
      </c>
      <c r="J1538" s="12" t="s">
        <v>38</v>
      </c>
      <c r="K1538" s="12" t="s">
        <v>38</v>
      </c>
      <c r="L1538" s="13" t="str">
        <f>HYPERLINK("http://asia.ensembl.org/Homo_sapiens/Gene/Summary?g=ENSG00000050438", "ENSG00000050438")</f>
        <v>ENSG00000050438</v>
      </c>
      <c r="M1538" s="12" t="s">
        <v>5311</v>
      </c>
      <c r="N1538" s="12" t="s">
        <v>13683</v>
      </c>
    </row>
    <row r="1539" spans="1:14">
      <c r="A1539" s="12" t="s">
        <v>10749</v>
      </c>
      <c r="B1539" s="8">
        <v>5559.7486564534902</v>
      </c>
      <c r="C1539" s="12">
        <v>2686.44785654108</v>
      </c>
      <c r="D1539" s="8">
        <v>1.0493198276018401</v>
      </c>
      <c r="E1539" s="12">
        <v>3.6209096497331599E-3</v>
      </c>
      <c r="F1539" s="8" t="s">
        <v>10750</v>
      </c>
      <c r="G1539" s="12" t="s">
        <v>15819</v>
      </c>
      <c r="H1539" s="12">
        <v>1</v>
      </c>
      <c r="I1539" s="13" t="str">
        <f>HYPERLINK("http://www.ncbi.nlm.nih.gov/gene/5565", "5565")</f>
        <v>5565</v>
      </c>
      <c r="J1539" s="13" t="str">
        <f>HYPERLINK("http://www.ncbi.nlm.nih.gov/nuccore/NM_005399", "NM_005399")</f>
        <v>NM_005399</v>
      </c>
      <c r="K1539" s="12" t="s">
        <v>10751</v>
      </c>
      <c r="L1539" s="13" t="str">
        <f>HYPERLINK("http://asia.ensembl.org/Homo_sapiens/Gene/Summary?g=ENSG00000131791", "ENSG00000131791")</f>
        <v>ENSG00000131791</v>
      </c>
      <c r="M1539" s="12" t="s">
        <v>15820</v>
      </c>
      <c r="N1539" s="12" t="s">
        <v>10752</v>
      </c>
    </row>
    <row r="1540" spans="1:14">
      <c r="A1540" s="12" t="s">
        <v>1720</v>
      </c>
      <c r="B1540" s="8">
        <v>2884.95797821718</v>
      </c>
      <c r="C1540" s="12">
        <v>1394.3429641635901</v>
      </c>
      <c r="D1540" s="8">
        <v>1.0489648428885801</v>
      </c>
      <c r="E1540" s="12">
        <v>1.9723473058124798E-2</v>
      </c>
      <c r="F1540" s="8" t="s">
        <v>1721</v>
      </c>
      <c r="G1540" s="12" t="s">
        <v>12394</v>
      </c>
      <c r="H1540" s="12">
        <v>1</v>
      </c>
      <c r="I1540" s="13" t="str">
        <f>HYPERLINK("http://www.ncbi.nlm.nih.gov/gene/4179", "4179")</f>
        <v>4179</v>
      </c>
      <c r="J1540" s="12" t="s">
        <v>12395</v>
      </c>
      <c r="K1540" s="12" t="s">
        <v>12396</v>
      </c>
      <c r="L1540" s="13" t="str">
        <f>HYPERLINK("http://asia.ensembl.org/Homo_sapiens/Gene/Summary?g=ENSG00000117335", "ENSG00000117335")</f>
        <v>ENSG00000117335</v>
      </c>
      <c r="M1540" s="12" t="s">
        <v>12397</v>
      </c>
      <c r="N1540" s="12" t="s">
        <v>12398</v>
      </c>
    </row>
    <row r="1541" spans="1:14">
      <c r="A1541" s="12" t="s">
        <v>5082</v>
      </c>
      <c r="B1541" s="8">
        <v>206.84872442725501</v>
      </c>
      <c r="C1541" s="12">
        <v>100.00497633097299</v>
      </c>
      <c r="D1541" s="8">
        <v>1.04850426944804</v>
      </c>
      <c r="E1541" s="12">
        <v>9.7821167899116504E-3</v>
      </c>
      <c r="F1541" s="8" t="s">
        <v>5083</v>
      </c>
      <c r="G1541" s="12" t="s">
        <v>5084</v>
      </c>
      <c r="H1541" s="12">
        <v>1</v>
      </c>
      <c r="I1541" s="13" t="str">
        <f>HYPERLINK("http://www.ncbi.nlm.nih.gov/gene/55680", "55680")</f>
        <v>55680</v>
      </c>
      <c r="J1541" s="12" t="s">
        <v>13574</v>
      </c>
      <c r="K1541" s="12" t="s">
        <v>13575</v>
      </c>
      <c r="L1541" s="13" t="str">
        <f>HYPERLINK("http://asia.ensembl.org/Homo_sapiens/Gene/Summary?g=ENSG00000204130", "ENSG00000204130")</f>
        <v>ENSG00000204130</v>
      </c>
      <c r="M1541" s="12" t="s">
        <v>13576</v>
      </c>
      <c r="N1541" s="12" t="s">
        <v>13577</v>
      </c>
    </row>
    <row r="1542" spans="1:14">
      <c r="A1542" s="12" t="s">
        <v>9528</v>
      </c>
      <c r="B1542" s="8">
        <v>13941.272172417401</v>
      </c>
      <c r="C1542" s="12">
        <v>6742.1104279174297</v>
      </c>
      <c r="D1542" s="8">
        <v>1.0480900540851501</v>
      </c>
      <c r="E1542" s="12">
        <v>3.8610012751694699E-3</v>
      </c>
      <c r="F1542" s="8" t="s">
        <v>9529</v>
      </c>
      <c r="G1542" s="12" t="s">
        <v>15066</v>
      </c>
      <c r="H1542" s="12">
        <v>1</v>
      </c>
      <c r="I1542" s="13" t="str">
        <f>HYPERLINK("http://www.ncbi.nlm.nih.gov/gene/950", "950")</f>
        <v>950</v>
      </c>
      <c r="J1542" s="12" t="s">
        <v>15067</v>
      </c>
      <c r="K1542" s="12" t="s">
        <v>15068</v>
      </c>
      <c r="L1542" s="13" t="str">
        <f>HYPERLINK("http://asia.ensembl.org/Homo_sapiens/Gene/Summary?g=ENSG00000138760", "ENSG00000138760")</f>
        <v>ENSG00000138760</v>
      </c>
      <c r="M1542" s="12" t="s">
        <v>15069</v>
      </c>
      <c r="N1542" s="12" t="s">
        <v>15070</v>
      </c>
    </row>
    <row r="1543" spans="1:14">
      <c r="A1543" s="12" t="s">
        <v>10296</v>
      </c>
      <c r="B1543" s="8">
        <v>2232.66301860163</v>
      </c>
      <c r="C1543" s="12">
        <v>1079.8625095713101</v>
      </c>
      <c r="D1543" s="8">
        <v>1.04791788099973</v>
      </c>
      <c r="E1543" s="12">
        <v>7.2183093180932696E-3</v>
      </c>
      <c r="F1543" s="8" t="s">
        <v>8683</v>
      </c>
      <c r="G1543" s="12" t="s">
        <v>8684</v>
      </c>
      <c r="H1543" s="12">
        <v>1</v>
      </c>
      <c r="I1543" s="13" t="str">
        <f>HYPERLINK("http://www.ncbi.nlm.nih.gov/gene/9988", "9988")</f>
        <v>9988</v>
      </c>
      <c r="J1543" s="12" t="s">
        <v>15375</v>
      </c>
      <c r="K1543" s="12" t="s">
        <v>15376</v>
      </c>
      <c r="L1543" s="13" t="str">
        <f>HYPERLINK("http://asia.ensembl.org/Homo_sapiens/Gene/Summary?g=ENSG00000135164", "ENSG00000135164")</f>
        <v>ENSG00000135164</v>
      </c>
      <c r="M1543" s="12" t="s">
        <v>15377</v>
      </c>
      <c r="N1543" s="12" t="s">
        <v>15378</v>
      </c>
    </row>
    <row r="1544" spans="1:14">
      <c r="A1544" s="12" t="s">
        <v>10091</v>
      </c>
      <c r="B1544" s="8">
        <v>1455.7707756214299</v>
      </c>
      <c r="C1544" s="12">
        <v>704.15823446314698</v>
      </c>
      <c r="D1544" s="8">
        <v>1.04781164324331</v>
      </c>
      <c r="E1544" s="12">
        <v>1.5759733125120402E-2</v>
      </c>
      <c r="F1544" s="8" t="s">
        <v>6626</v>
      </c>
      <c r="G1544" s="12" t="s">
        <v>15291</v>
      </c>
      <c r="H1544" s="12">
        <v>1</v>
      </c>
      <c r="I1544" s="13" t="str">
        <f>HYPERLINK("http://www.ncbi.nlm.nih.gov/gene/55132", "55132")</f>
        <v>55132</v>
      </c>
      <c r="J1544" s="13" t="str">
        <f>HYPERLINK("http://www.ncbi.nlm.nih.gov/nuccore/NM_032239", "NM_032239")</f>
        <v>NM_032239</v>
      </c>
      <c r="K1544" s="12" t="s">
        <v>10092</v>
      </c>
      <c r="L1544" s="13" t="str">
        <f>HYPERLINK("http://asia.ensembl.org/Homo_sapiens/Gene/Summary?g=ENSG00000138709", "ENSG00000138709")</f>
        <v>ENSG00000138709</v>
      </c>
      <c r="M1544" s="12" t="s">
        <v>15292</v>
      </c>
      <c r="N1544" s="12" t="s">
        <v>15293</v>
      </c>
    </row>
    <row r="1545" spans="1:14">
      <c r="A1545" s="12" t="s">
        <v>7342</v>
      </c>
      <c r="B1545" s="8">
        <v>6679.6892098641501</v>
      </c>
      <c r="C1545" s="12">
        <v>3231.1137944133302</v>
      </c>
      <c r="D1545" s="8">
        <v>1.0477494182740399</v>
      </c>
      <c r="E1545" s="12">
        <v>4.5242025956899797E-3</v>
      </c>
      <c r="F1545" s="8" t="s">
        <v>7343</v>
      </c>
      <c r="G1545" s="12" t="s">
        <v>7344</v>
      </c>
      <c r="H1545" s="12">
        <v>4</v>
      </c>
      <c r="I1545" s="12" t="s">
        <v>7345</v>
      </c>
      <c r="J1545" s="12" t="s">
        <v>7346</v>
      </c>
      <c r="K1545" s="12" t="s">
        <v>7347</v>
      </c>
      <c r="L1545" s="13" t="str">
        <f>HYPERLINK("http://asia.ensembl.org/Homo_sapiens/Gene/Summary?g=ENSG00000166598", "ENSG00000166598")</f>
        <v>ENSG00000166598</v>
      </c>
      <c r="M1545" s="12" t="s">
        <v>14405</v>
      </c>
      <c r="N1545" s="12" t="s">
        <v>14406</v>
      </c>
    </row>
    <row r="1546" spans="1:14">
      <c r="A1546" s="12" t="s">
        <v>7658</v>
      </c>
      <c r="B1546" s="8">
        <v>1304.8164744616499</v>
      </c>
      <c r="C1546" s="12">
        <v>631.45289814761497</v>
      </c>
      <c r="D1546" s="8">
        <v>1.04709987413051</v>
      </c>
      <c r="E1546" s="12">
        <v>9.8493274585759703E-3</v>
      </c>
      <c r="F1546" s="8" t="s">
        <v>7659</v>
      </c>
      <c r="G1546" s="12" t="s">
        <v>7660</v>
      </c>
      <c r="H1546" s="12">
        <v>1</v>
      </c>
      <c r="I1546" s="13" t="str">
        <f>HYPERLINK("http://www.ncbi.nlm.nih.gov/gene/55187", "55187")</f>
        <v>55187</v>
      </c>
      <c r="J1546" s="12" t="s">
        <v>14502</v>
      </c>
      <c r="K1546" s="12" t="s">
        <v>14503</v>
      </c>
      <c r="L1546" s="13" t="str">
        <f>HYPERLINK("http://asia.ensembl.org/Homo_sapiens/Gene/Summary?g=ENSG00000048707", "ENSG00000048707")</f>
        <v>ENSG00000048707</v>
      </c>
      <c r="M1546" s="12" t="s">
        <v>14504</v>
      </c>
      <c r="N1546" s="12" t="s">
        <v>14505</v>
      </c>
    </row>
    <row r="1547" spans="1:14">
      <c r="A1547" s="12" t="s">
        <v>9796</v>
      </c>
      <c r="B1547" s="8">
        <v>173.307335824631</v>
      </c>
      <c r="C1547" s="12">
        <v>83.892529305267104</v>
      </c>
      <c r="D1547" s="8">
        <v>1.0467184743967299</v>
      </c>
      <c r="E1547" s="12">
        <v>1.0177722110271501E-3</v>
      </c>
      <c r="F1547" s="8" t="s">
        <v>9797</v>
      </c>
      <c r="G1547" s="12" t="s">
        <v>15182</v>
      </c>
      <c r="H1547" s="12">
        <v>1</v>
      </c>
      <c r="I1547" s="13" t="str">
        <f>HYPERLINK("http://www.ncbi.nlm.nih.gov/gene/641455", "641455")</f>
        <v>641455</v>
      </c>
      <c r="J1547" s="13" t="str">
        <f>HYPERLINK("http://www.ncbi.nlm.nih.gov/nuccore/NM_001145442", "NM_001145442")</f>
        <v>NM_001145442</v>
      </c>
      <c r="K1547" s="12" t="s">
        <v>9798</v>
      </c>
      <c r="L1547" s="13" t="str">
        <f>HYPERLINK("http://asia.ensembl.org/Homo_sapiens/Gene/Summary?g=ENSG00000222036", "ENSG00000222036")</f>
        <v>ENSG00000222036</v>
      </c>
      <c r="M1547" s="12" t="s">
        <v>15183</v>
      </c>
      <c r="N1547" s="12" t="s">
        <v>15184</v>
      </c>
    </row>
    <row r="1548" spans="1:14">
      <c r="A1548" s="12" t="s">
        <v>11165</v>
      </c>
      <c r="B1548" s="8">
        <v>1623.32801104702</v>
      </c>
      <c r="C1548" s="12">
        <v>785.88672230541204</v>
      </c>
      <c r="D1548" s="8">
        <v>1.0465612589848601</v>
      </c>
      <c r="E1548" s="12">
        <v>7.3784339762952098E-3</v>
      </c>
      <c r="F1548" s="8" t="s">
        <v>38</v>
      </c>
      <c r="G1548" s="12" t="s">
        <v>38</v>
      </c>
      <c r="H1548" s="12">
        <v>1</v>
      </c>
      <c r="I1548" s="12" t="s">
        <v>38</v>
      </c>
      <c r="J1548" s="12" t="s">
        <v>38</v>
      </c>
      <c r="K1548" s="12" t="s">
        <v>38</v>
      </c>
      <c r="L1548" s="13" t="str">
        <f>HYPERLINK("http://asia.ensembl.org/Homo_sapiens/Gene/Summary?g=ENSG00000072849", "ENSG00000072849")</f>
        <v>ENSG00000072849</v>
      </c>
      <c r="M1548" s="12" t="s">
        <v>11166</v>
      </c>
      <c r="N1548" s="12" t="s">
        <v>16015</v>
      </c>
    </row>
    <row r="1549" spans="1:14">
      <c r="A1549" s="12" t="s">
        <v>4887</v>
      </c>
      <c r="B1549" s="8">
        <v>1924.6687970216001</v>
      </c>
      <c r="C1549" s="12">
        <v>931.78389991216397</v>
      </c>
      <c r="D1549" s="8">
        <v>1.0465428959611001</v>
      </c>
      <c r="E1549" s="12">
        <v>1.0590410252486899E-2</v>
      </c>
      <c r="F1549" s="8" t="s">
        <v>4888</v>
      </c>
      <c r="G1549" s="12" t="s">
        <v>4889</v>
      </c>
      <c r="H1549" s="12">
        <v>1</v>
      </c>
      <c r="I1549" s="13" t="str">
        <f>HYPERLINK("http://www.ncbi.nlm.nih.gov/gene/8243", "8243")</f>
        <v>8243</v>
      </c>
      <c r="J1549" s="13" t="str">
        <f>HYPERLINK("http://www.ncbi.nlm.nih.gov/nuccore/NM_006306", "NM_006306")</f>
        <v>NM_006306</v>
      </c>
      <c r="K1549" s="12" t="s">
        <v>4890</v>
      </c>
      <c r="L1549" s="13" t="str">
        <f>HYPERLINK("http://asia.ensembl.org/Homo_sapiens/Gene/Summary?g=ENSG00000072501", "ENSG00000072501")</f>
        <v>ENSG00000072501</v>
      </c>
      <c r="M1549" s="12" t="s">
        <v>13451</v>
      </c>
      <c r="N1549" s="12" t="s">
        <v>13452</v>
      </c>
    </row>
    <row r="1550" spans="1:14">
      <c r="A1550" s="12" t="s">
        <v>6114</v>
      </c>
      <c r="B1550" s="8">
        <v>5010.3906989903398</v>
      </c>
      <c r="C1550" s="12">
        <v>2425.7877180248702</v>
      </c>
      <c r="D1550" s="8">
        <v>1.0464698009483799</v>
      </c>
      <c r="E1550" s="12">
        <v>3.2345048727933801E-3</v>
      </c>
      <c r="F1550" s="8" t="s">
        <v>6115</v>
      </c>
      <c r="G1550" s="12" t="s">
        <v>6116</v>
      </c>
      <c r="H1550" s="12">
        <v>1</v>
      </c>
      <c r="I1550" s="13" t="str">
        <f>HYPERLINK("http://www.ncbi.nlm.nih.gov/gene/6646", "6646")</f>
        <v>6646</v>
      </c>
      <c r="J1550" s="12" t="s">
        <v>14053</v>
      </c>
      <c r="K1550" s="12" t="s">
        <v>14054</v>
      </c>
      <c r="L1550" s="13" t="str">
        <f>HYPERLINK("http://asia.ensembl.org/Homo_sapiens/Gene/Summary?g=ENSG00000057252", "ENSG00000057252")</f>
        <v>ENSG00000057252</v>
      </c>
      <c r="M1550" s="12" t="s">
        <v>14055</v>
      </c>
      <c r="N1550" s="12" t="s">
        <v>14056</v>
      </c>
    </row>
    <row r="1551" spans="1:14">
      <c r="A1551" s="12" t="s">
        <v>9925</v>
      </c>
      <c r="B1551" s="8">
        <v>170.17180283795199</v>
      </c>
      <c r="C1551" s="12">
        <v>82.398774320215793</v>
      </c>
      <c r="D1551" s="8">
        <v>1.0462972222234499</v>
      </c>
      <c r="E1551" s="12">
        <v>5.17131673871268E-3</v>
      </c>
      <c r="F1551" s="8" t="s">
        <v>3643</v>
      </c>
      <c r="G1551" s="12" t="s">
        <v>3644</v>
      </c>
      <c r="H1551" s="12">
        <v>1</v>
      </c>
      <c r="I1551" s="13" t="str">
        <f>HYPERLINK("http://www.ncbi.nlm.nih.gov/gene/28981", "28981")</f>
        <v>28981</v>
      </c>
      <c r="J1551" s="13" t="str">
        <f>HYPERLINK("http://www.ncbi.nlm.nih.gov/nuccore/NM_031473", "NM_031473")</f>
        <v>NM_031473</v>
      </c>
      <c r="K1551" s="12" t="s">
        <v>9926</v>
      </c>
      <c r="L1551" s="13" t="str">
        <f>HYPERLINK("http://asia.ensembl.org/Homo_sapiens/Gene/Summary?g=ENSG00000122970", "ENSG00000122970")</f>
        <v>ENSG00000122970</v>
      </c>
      <c r="M1551" s="12" t="s">
        <v>15245</v>
      </c>
      <c r="N1551" s="12" t="s">
        <v>15246</v>
      </c>
    </row>
    <row r="1552" spans="1:14">
      <c r="A1552" s="12" t="s">
        <v>4472</v>
      </c>
      <c r="B1552" s="8">
        <v>749.57819007914998</v>
      </c>
      <c r="C1552" s="12">
        <v>362.97457924620602</v>
      </c>
      <c r="D1552" s="8">
        <v>1.04621046328892</v>
      </c>
      <c r="E1552" s="12">
        <v>5.1940829259224898E-3</v>
      </c>
      <c r="F1552" s="8" t="s">
        <v>4473</v>
      </c>
      <c r="G1552" s="12" t="s">
        <v>13246</v>
      </c>
      <c r="H1552" s="12">
        <v>1</v>
      </c>
      <c r="I1552" s="13" t="str">
        <f>HYPERLINK("http://www.ncbi.nlm.nih.gov/gene/26049", "26049")</f>
        <v>26049</v>
      </c>
      <c r="J1552" s="12" t="s">
        <v>13247</v>
      </c>
      <c r="K1552" s="12" t="s">
        <v>13248</v>
      </c>
      <c r="L1552" s="13" t="str">
        <f>HYPERLINK("http://asia.ensembl.org/Homo_sapiens/Gene/Summary?g=ENSG00000198780", "ENSG00000198780")</f>
        <v>ENSG00000198780</v>
      </c>
      <c r="M1552" s="12" t="s">
        <v>13249</v>
      </c>
      <c r="N1552" s="12" t="s">
        <v>13250</v>
      </c>
    </row>
    <row r="1553" spans="1:14">
      <c r="A1553" s="12" t="s">
        <v>5047</v>
      </c>
      <c r="B1553" s="8">
        <v>1752.33380744997</v>
      </c>
      <c r="C1553" s="12">
        <v>848.55154469464503</v>
      </c>
      <c r="D1553" s="8">
        <v>1.0462034214432101</v>
      </c>
      <c r="E1553" s="12">
        <v>9.0873704308667008E-3</v>
      </c>
      <c r="F1553" s="8" t="s">
        <v>5048</v>
      </c>
      <c r="G1553" s="12" t="s">
        <v>5049</v>
      </c>
      <c r="H1553" s="12">
        <v>1</v>
      </c>
      <c r="I1553" s="13" t="str">
        <f>HYPERLINK("http://www.ncbi.nlm.nih.gov/gene/6120", "6120")</f>
        <v>6120</v>
      </c>
      <c r="J1553" s="12" t="s">
        <v>13553</v>
      </c>
      <c r="K1553" s="12" t="s">
        <v>13554</v>
      </c>
      <c r="L1553" s="13" t="str">
        <f>HYPERLINK("http://asia.ensembl.org/Homo_sapiens/Gene/Summary?g=ENSG00000197713", "ENSG00000197713")</f>
        <v>ENSG00000197713</v>
      </c>
      <c r="M1553" s="12" t="s">
        <v>13555</v>
      </c>
      <c r="N1553" s="12" t="s">
        <v>13556</v>
      </c>
    </row>
    <row r="1554" spans="1:14">
      <c r="A1554" s="12" t="s">
        <v>4989</v>
      </c>
      <c r="B1554" s="8">
        <v>126.76857719042501</v>
      </c>
      <c r="C1554" s="12">
        <v>61.420143506389998</v>
      </c>
      <c r="D1554" s="8">
        <v>1.0454133929603</v>
      </c>
      <c r="E1554" s="12">
        <v>3.8610302578665698E-2</v>
      </c>
      <c r="F1554" s="8" t="s">
        <v>4990</v>
      </c>
      <c r="G1554" s="12" t="s">
        <v>4991</v>
      </c>
      <c r="H1554" s="12">
        <v>1</v>
      </c>
      <c r="I1554" s="13" t="str">
        <f>HYPERLINK("http://www.ncbi.nlm.nih.gov/gene/80127", "80127")</f>
        <v>80127</v>
      </c>
      <c r="J1554" s="13" t="str">
        <f>HYPERLINK("http://www.ncbi.nlm.nih.gov/nuccore/NM_025057", "NM_025057")</f>
        <v>NM_025057</v>
      </c>
      <c r="K1554" s="12" t="s">
        <v>4992</v>
      </c>
      <c r="L1554" s="13" t="str">
        <f>HYPERLINK("http://asia.ensembl.org/Homo_sapiens/Gene/Summary?g=ENSG00000119636", "ENSG00000119636")</f>
        <v>ENSG00000119636</v>
      </c>
      <c r="M1554" s="12" t="s">
        <v>13520</v>
      </c>
      <c r="N1554" s="12" t="s">
        <v>13521</v>
      </c>
    </row>
    <row r="1555" spans="1:14">
      <c r="A1555" s="12" t="s">
        <v>8767</v>
      </c>
      <c r="B1555" s="8">
        <v>206.43790232474601</v>
      </c>
      <c r="C1555" s="12">
        <v>100.034541734821</v>
      </c>
      <c r="D1555" s="8">
        <v>1.0452096303184799</v>
      </c>
      <c r="E1555" s="12">
        <v>1.2025941763149001E-2</v>
      </c>
      <c r="F1555" s="8" t="s">
        <v>8273</v>
      </c>
      <c r="G1555" s="12" t="s">
        <v>8274</v>
      </c>
      <c r="H1555" s="12">
        <v>1</v>
      </c>
      <c r="I1555" s="13" t="str">
        <f>HYPERLINK("http://www.ncbi.nlm.nih.gov/gene/26149", "26149")</f>
        <v>26149</v>
      </c>
      <c r="J1555" s="13" t="str">
        <f>HYPERLINK("http://www.ncbi.nlm.nih.gov/nuccore/NM_033160", "NM_033160")</f>
        <v>NM_033160</v>
      </c>
      <c r="K1555" s="12" t="s">
        <v>8275</v>
      </c>
      <c r="L1555" s="13" t="str">
        <f>HYPERLINK("http://asia.ensembl.org/Homo_sapiens/Gene/Summary?g=ENSG00000274349", "ENSG00000274349")</f>
        <v>ENSG00000274349</v>
      </c>
      <c r="M1555" s="12" t="s">
        <v>14865</v>
      </c>
      <c r="N1555" s="12" t="s">
        <v>14866</v>
      </c>
    </row>
    <row r="1556" spans="1:14">
      <c r="A1556" s="12" t="s">
        <v>9535</v>
      </c>
      <c r="B1556" s="8">
        <v>2958.7122983130398</v>
      </c>
      <c r="C1556" s="12">
        <v>1433.92659830609</v>
      </c>
      <c r="D1556" s="8">
        <v>1.04499824200576</v>
      </c>
      <c r="E1556" s="12">
        <v>5.2414999977129801E-3</v>
      </c>
      <c r="F1556" s="8" t="s">
        <v>9536</v>
      </c>
      <c r="G1556" s="12" t="s">
        <v>9537</v>
      </c>
      <c r="H1556" s="12">
        <v>1</v>
      </c>
      <c r="I1556" s="13" t="str">
        <f>HYPERLINK("http://www.ncbi.nlm.nih.gov/gene/6016", "6016")</f>
        <v>6016</v>
      </c>
      <c r="J1556" s="12" t="s">
        <v>15071</v>
      </c>
      <c r="K1556" s="12" t="s">
        <v>15072</v>
      </c>
      <c r="L1556" s="13" t="str">
        <f>HYPERLINK("http://asia.ensembl.org/Homo_sapiens/Gene/Summary?g=ENSG00000143622", "ENSG00000143622")</f>
        <v>ENSG00000143622</v>
      </c>
      <c r="M1556" s="12" t="s">
        <v>15073</v>
      </c>
      <c r="N1556" s="12" t="s">
        <v>15074</v>
      </c>
    </row>
    <row r="1557" spans="1:14">
      <c r="A1557" s="12" t="s">
        <v>5687</v>
      </c>
      <c r="B1557" s="8">
        <v>7358.0668582455401</v>
      </c>
      <c r="C1557" s="12">
        <v>3567.32755661489</v>
      </c>
      <c r="D1557" s="8">
        <v>1.04448309325108</v>
      </c>
      <c r="E1557" s="12">
        <v>8.0737776391576598E-3</v>
      </c>
      <c r="F1557" s="8" t="s">
        <v>5688</v>
      </c>
      <c r="G1557" s="12" t="s">
        <v>13877</v>
      </c>
      <c r="H1557" s="12">
        <v>1</v>
      </c>
      <c r="I1557" s="13" t="str">
        <f>HYPERLINK("http://www.ncbi.nlm.nih.gov/gene/5591", "5591")</f>
        <v>5591</v>
      </c>
      <c r="J1557" s="12" t="s">
        <v>13878</v>
      </c>
      <c r="K1557" s="12" t="s">
        <v>13879</v>
      </c>
      <c r="L1557" s="13" t="str">
        <f>HYPERLINK("http://asia.ensembl.org/Homo_sapiens/Gene/Summary?g=ENSG00000253729", "ENSG00000253729")</f>
        <v>ENSG00000253729</v>
      </c>
      <c r="M1557" s="12" t="s">
        <v>13880</v>
      </c>
      <c r="N1557" s="12" t="s">
        <v>13881</v>
      </c>
    </row>
    <row r="1558" spans="1:14">
      <c r="A1558" s="12" t="s">
        <v>4501</v>
      </c>
      <c r="B1558" s="8">
        <v>18022.487075037599</v>
      </c>
      <c r="C1558" s="12">
        <v>8738.6240991816903</v>
      </c>
      <c r="D1558" s="8">
        <v>1.0443200648998701</v>
      </c>
      <c r="E1558" s="12">
        <v>1.2824249167001299E-2</v>
      </c>
      <c r="F1558" s="8" t="s">
        <v>4502</v>
      </c>
      <c r="G1558" s="12" t="s">
        <v>3701</v>
      </c>
      <c r="H1558" s="12">
        <v>1</v>
      </c>
      <c r="I1558" s="13" t="str">
        <f>HYPERLINK("http://www.ncbi.nlm.nih.gov/gene/6574", "6574")</f>
        <v>6574</v>
      </c>
      <c r="J1558" s="13" t="str">
        <f>HYPERLINK("http://www.ncbi.nlm.nih.gov/nuccore/NM_005415", "NM_005415")</f>
        <v>NM_005415</v>
      </c>
      <c r="K1558" s="12" t="s">
        <v>4503</v>
      </c>
      <c r="L1558" s="13" t="str">
        <f>HYPERLINK("http://asia.ensembl.org/Homo_sapiens/Gene/Summary?g=ENSG00000144136", "ENSG00000144136")</f>
        <v>ENSG00000144136</v>
      </c>
      <c r="M1558" s="12" t="s">
        <v>13257</v>
      </c>
      <c r="N1558" s="12" t="s">
        <v>13258</v>
      </c>
    </row>
    <row r="1559" spans="1:14">
      <c r="A1559" s="12" t="s">
        <v>847</v>
      </c>
      <c r="B1559" s="8">
        <v>8511.2635556963905</v>
      </c>
      <c r="C1559" s="12">
        <v>4127.47690612734</v>
      </c>
      <c r="D1559" s="8">
        <v>1.0441131827674499</v>
      </c>
      <c r="E1559" s="12">
        <v>1.14947600660759E-2</v>
      </c>
      <c r="F1559" s="8" t="s">
        <v>848</v>
      </c>
      <c r="G1559" s="12" t="s">
        <v>12135</v>
      </c>
      <c r="H1559" s="12">
        <v>1</v>
      </c>
      <c r="I1559" s="13" t="str">
        <f>HYPERLINK("http://www.ncbi.nlm.nih.gov/gene/23271", "23271")</f>
        <v>23271</v>
      </c>
      <c r="J1559" s="13" t="str">
        <f>HYPERLINK("http://www.ncbi.nlm.nih.gov/nuccore/NM_203459", "NM_203459")</f>
        <v>NM_203459</v>
      </c>
      <c r="K1559" s="12" t="s">
        <v>849</v>
      </c>
      <c r="L1559" s="13" t="str">
        <f>HYPERLINK("http://asia.ensembl.org/Homo_sapiens/Gene/Summary?g=ENSG00000118200", "ENSG00000118200")</f>
        <v>ENSG00000118200</v>
      </c>
      <c r="M1559" s="12" t="s">
        <v>12136</v>
      </c>
      <c r="N1559" s="12" t="s">
        <v>12137</v>
      </c>
    </row>
    <row r="1560" spans="1:14">
      <c r="A1560" s="12" t="s">
        <v>3736</v>
      </c>
      <c r="B1560" s="8">
        <v>912.23527664196797</v>
      </c>
      <c r="C1560" s="12">
        <v>442.45628110531101</v>
      </c>
      <c r="D1560" s="8">
        <v>1.0438710508613001</v>
      </c>
      <c r="E1560" s="12">
        <v>1.37035718967266E-2</v>
      </c>
      <c r="F1560" s="8" t="s">
        <v>38</v>
      </c>
      <c r="G1560" s="12" t="s">
        <v>38</v>
      </c>
      <c r="H1560" s="12">
        <v>1</v>
      </c>
      <c r="I1560" s="12" t="s">
        <v>38</v>
      </c>
      <c r="J1560" s="12" t="s">
        <v>38</v>
      </c>
      <c r="K1560" s="12" t="s">
        <v>38</v>
      </c>
      <c r="L1560" s="13" t="str">
        <f>HYPERLINK("http://asia.ensembl.org/Homo_sapiens/Gene/Summary?g=ENSG00000140365", "ENSG00000140365")</f>
        <v>ENSG00000140365</v>
      </c>
      <c r="M1560" s="12" t="s">
        <v>3737</v>
      </c>
      <c r="N1560" s="12" t="s">
        <v>13083</v>
      </c>
    </row>
    <row r="1561" spans="1:14">
      <c r="A1561" s="12" t="s">
        <v>11773</v>
      </c>
      <c r="B1561" s="8">
        <v>1288.09894831</v>
      </c>
      <c r="C1561" s="12">
        <v>624.80544395622405</v>
      </c>
      <c r="D1561" s="8">
        <v>1.0437644927668499</v>
      </c>
      <c r="E1561" s="12">
        <v>1.12569926726714E-2</v>
      </c>
      <c r="F1561" s="8" t="s">
        <v>11774</v>
      </c>
      <c r="G1561" s="12" t="s">
        <v>3567</v>
      </c>
      <c r="H1561" s="12">
        <v>1</v>
      </c>
      <c r="I1561" s="13" t="str">
        <f>HYPERLINK("http://www.ncbi.nlm.nih.gov/gene/6508", "6508")</f>
        <v>6508</v>
      </c>
      <c r="J1561" s="12" t="s">
        <v>16190</v>
      </c>
      <c r="K1561" s="12" t="s">
        <v>16191</v>
      </c>
      <c r="L1561" s="13" t="str">
        <f>HYPERLINK("http://asia.ensembl.org/Homo_sapiens/Gene/Summary?g=ENSG00000114923", "ENSG00000114923")</f>
        <v>ENSG00000114923</v>
      </c>
      <c r="M1561" s="12" t="s">
        <v>16192</v>
      </c>
      <c r="N1561" s="12" t="s">
        <v>16193</v>
      </c>
    </row>
    <row r="1562" spans="1:14">
      <c r="A1562" s="12" t="s">
        <v>696</v>
      </c>
      <c r="B1562" s="8">
        <v>2712.58980387783</v>
      </c>
      <c r="C1562" s="12">
        <v>1316.27837007726</v>
      </c>
      <c r="D1562" s="8">
        <v>1.0432062743241799</v>
      </c>
      <c r="E1562" s="12">
        <v>1.4990327844231099E-2</v>
      </c>
      <c r="F1562" s="8" t="s">
        <v>697</v>
      </c>
      <c r="G1562" s="12" t="s">
        <v>698</v>
      </c>
      <c r="H1562" s="12">
        <v>1</v>
      </c>
      <c r="I1562" s="13" t="str">
        <f>HYPERLINK("http://www.ncbi.nlm.nih.gov/gene/5420", "5420")</f>
        <v>5420</v>
      </c>
      <c r="J1562" s="12" t="s">
        <v>12074</v>
      </c>
      <c r="K1562" s="12" t="s">
        <v>12075</v>
      </c>
      <c r="L1562" s="13" t="str">
        <f>HYPERLINK("http://asia.ensembl.org/Homo_sapiens/Gene/Summary?g=ENSG00000128567", "ENSG00000128567")</f>
        <v>ENSG00000128567</v>
      </c>
      <c r="M1562" s="12" t="s">
        <v>12076</v>
      </c>
      <c r="N1562" s="12" t="s">
        <v>12077</v>
      </c>
    </row>
    <row r="1563" spans="1:14">
      <c r="A1563" s="12" t="s">
        <v>768</v>
      </c>
      <c r="B1563" s="8">
        <v>5987.9328376029298</v>
      </c>
      <c r="C1563" s="12">
        <v>2905.9808162481399</v>
      </c>
      <c r="D1563" s="8">
        <v>1.0430328607088599</v>
      </c>
      <c r="E1563" s="12">
        <v>1.7018548414891501E-2</v>
      </c>
      <c r="F1563" s="8" t="s">
        <v>769</v>
      </c>
      <c r="G1563" s="12" t="s">
        <v>770</v>
      </c>
      <c r="H1563" s="12">
        <v>1</v>
      </c>
      <c r="I1563" s="13" t="str">
        <f>HYPERLINK("http://www.ncbi.nlm.nih.gov/gene/64645", "64645")</f>
        <v>64645</v>
      </c>
      <c r="J1563" s="13" t="str">
        <f>HYPERLINK("http://www.ncbi.nlm.nih.gov/nuccore/NM_033055", "NM_033055")</f>
        <v>NM_033055</v>
      </c>
      <c r="K1563" s="12" t="s">
        <v>771</v>
      </c>
      <c r="L1563" s="13" t="str">
        <f>HYPERLINK("http://asia.ensembl.org/Homo_sapiens/Gene/Summary?g=ENSG00000156875", "ENSG00000156875")</f>
        <v>ENSG00000156875</v>
      </c>
      <c r="M1563" s="12" t="s">
        <v>12099</v>
      </c>
      <c r="N1563" s="12" t="s">
        <v>12100</v>
      </c>
    </row>
    <row r="1564" spans="1:14">
      <c r="A1564" s="12" t="s">
        <v>1020</v>
      </c>
      <c r="B1564" s="8">
        <v>762.29983694732198</v>
      </c>
      <c r="C1564" s="12">
        <v>370.02328740931301</v>
      </c>
      <c r="D1564" s="8">
        <v>1.04274249793941</v>
      </c>
      <c r="E1564" s="12">
        <v>1.9833004190625701E-2</v>
      </c>
      <c r="F1564" s="8" t="s">
        <v>1021</v>
      </c>
      <c r="G1564" s="12" t="s">
        <v>1022</v>
      </c>
      <c r="H1564" s="12">
        <v>1</v>
      </c>
      <c r="I1564" s="13" t="str">
        <f>HYPERLINK("http://www.ncbi.nlm.nih.gov/gene/9318", "9318")</f>
        <v>9318</v>
      </c>
      <c r="J1564" s="12" t="s">
        <v>12195</v>
      </c>
      <c r="K1564" s="12" t="s">
        <v>12196</v>
      </c>
      <c r="L1564" s="13" t="str">
        <f>HYPERLINK("http://asia.ensembl.org/Homo_sapiens/Gene/Summary?g=ENSG00000166200", "ENSG00000166200")</f>
        <v>ENSG00000166200</v>
      </c>
      <c r="M1564" s="12" t="s">
        <v>12197</v>
      </c>
      <c r="N1564" s="12" t="s">
        <v>12198</v>
      </c>
    </row>
    <row r="1565" spans="1:14">
      <c r="A1565" s="12" t="s">
        <v>60</v>
      </c>
      <c r="B1565" s="8">
        <v>307.08138775392803</v>
      </c>
      <c r="C1565" s="12">
        <v>149.07509033315699</v>
      </c>
      <c r="D1565" s="8">
        <v>1.04258186204031</v>
      </c>
      <c r="E1565" s="12">
        <v>1.24547203754238E-2</v>
      </c>
      <c r="F1565" s="8" t="s">
        <v>61</v>
      </c>
      <c r="G1565" s="12" t="s">
        <v>62</v>
      </c>
      <c r="H1565" s="12">
        <v>1</v>
      </c>
      <c r="I1565" s="13" t="str">
        <f>HYPERLINK("http://www.ncbi.nlm.nih.gov/gene/373", "373")</f>
        <v>373</v>
      </c>
      <c r="J1565" s="13" t="str">
        <f>HYPERLINK("http://www.ncbi.nlm.nih.gov/nuccore/NM_001656", "NM_001656")</f>
        <v>NM_001656</v>
      </c>
      <c r="K1565" s="12" t="s">
        <v>63</v>
      </c>
      <c r="L1565" s="13" t="str">
        <f>HYPERLINK("http://asia.ensembl.org/Homo_sapiens/Gene/Summary?g=ENSG00000113595", "ENSG00000113595")</f>
        <v>ENSG00000113595</v>
      </c>
      <c r="M1565" s="12" t="s">
        <v>11845</v>
      </c>
      <c r="N1565" s="12" t="s">
        <v>11846</v>
      </c>
    </row>
    <row r="1566" spans="1:14">
      <c r="A1566" s="12" t="s">
        <v>10483</v>
      </c>
      <c r="B1566" s="8">
        <v>530.39665199132605</v>
      </c>
      <c r="C1566" s="12">
        <v>257.52904103114901</v>
      </c>
      <c r="D1566" s="8">
        <v>1.0423365375107101</v>
      </c>
      <c r="E1566" s="12">
        <v>7.1074912763405803E-3</v>
      </c>
      <c r="F1566" s="8" t="s">
        <v>9017</v>
      </c>
      <c r="G1566" s="12" t="s">
        <v>9018</v>
      </c>
      <c r="H1566" s="12">
        <v>1</v>
      </c>
      <c r="I1566" s="13" t="str">
        <f>HYPERLINK("http://www.ncbi.nlm.nih.gov/gene/200895", "200895")</f>
        <v>200895</v>
      </c>
      <c r="J1566" s="12" t="s">
        <v>15454</v>
      </c>
      <c r="K1566" s="12" t="s">
        <v>15455</v>
      </c>
      <c r="L1566" s="13" t="str">
        <f>HYPERLINK("http://asia.ensembl.org/Homo_sapiens/Gene/Summary?g=ENSG00000178700", "ENSG00000178700")</f>
        <v>ENSG00000178700</v>
      </c>
      <c r="M1566" s="12" t="s">
        <v>15456</v>
      </c>
      <c r="N1566" s="12" t="s">
        <v>15457</v>
      </c>
    </row>
    <row r="1567" spans="1:14">
      <c r="A1567" s="12" t="s">
        <v>5795</v>
      </c>
      <c r="B1567" s="8">
        <v>214.65381038061599</v>
      </c>
      <c r="C1567" s="12">
        <v>104.22712130323001</v>
      </c>
      <c r="D1567" s="8">
        <v>1.0422810475184801</v>
      </c>
      <c r="E1567" s="12">
        <v>9.4759432291276294E-5</v>
      </c>
      <c r="F1567" s="8" t="s">
        <v>5796</v>
      </c>
      <c r="G1567" s="12" t="s">
        <v>5797</v>
      </c>
      <c r="H1567" s="12">
        <v>1</v>
      </c>
      <c r="I1567" s="13" t="str">
        <f>HYPERLINK("http://www.ncbi.nlm.nih.gov/gene/1326", "1326")</f>
        <v>1326</v>
      </c>
      <c r="J1567" s="12" t="s">
        <v>13909</v>
      </c>
      <c r="K1567" s="12" t="s">
        <v>13910</v>
      </c>
      <c r="L1567" s="13" t="str">
        <f>HYPERLINK("http://asia.ensembl.org/Homo_sapiens/Gene/Summary?g=ENSG00000107968", "ENSG00000107968")</f>
        <v>ENSG00000107968</v>
      </c>
      <c r="M1567" s="12" t="s">
        <v>13911</v>
      </c>
      <c r="N1567" s="12" t="s">
        <v>13912</v>
      </c>
    </row>
    <row r="1568" spans="1:14">
      <c r="A1568" s="12" t="s">
        <v>3443</v>
      </c>
      <c r="B1568" s="8">
        <v>1001.38151285182</v>
      </c>
      <c r="C1568" s="12">
        <v>486.32135188151801</v>
      </c>
      <c r="D1568" s="8">
        <v>1.04200988682392</v>
      </c>
      <c r="E1568" s="12">
        <v>1.22511440753041E-2</v>
      </c>
      <c r="F1568" s="8" t="s">
        <v>3444</v>
      </c>
      <c r="G1568" s="12" t="s">
        <v>3445</v>
      </c>
      <c r="H1568" s="12">
        <v>1</v>
      </c>
      <c r="I1568" s="13" t="str">
        <f>HYPERLINK("http://www.ncbi.nlm.nih.gov/gene/205428", "205428")</f>
        <v>205428</v>
      </c>
      <c r="J1568" s="12" t="s">
        <v>12985</v>
      </c>
      <c r="K1568" s="12" t="s">
        <v>12986</v>
      </c>
      <c r="L1568" s="13" t="str">
        <f>HYPERLINK("http://asia.ensembl.org/Homo_sapiens/Gene/Summary?g=ENSG00000181744", "ENSG00000181744")</f>
        <v>ENSG00000181744</v>
      </c>
      <c r="M1568" s="12" t="s">
        <v>12987</v>
      </c>
      <c r="N1568" s="12" t="s">
        <v>12988</v>
      </c>
    </row>
    <row r="1569" spans="1:14">
      <c r="A1569" s="12" t="s">
        <v>5453</v>
      </c>
      <c r="B1569" s="8">
        <v>674.43458185762597</v>
      </c>
      <c r="C1569" s="12">
        <v>327.57920621561902</v>
      </c>
      <c r="D1569" s="8">
        <v>1.0418347310849101</v>
      </c>
      <c r="E1569" s="12">
        <v>7.1758652095578303E-3</v>
      </c>
      <c r="F1569" s="8" t="s">
        <v>5454</v>
      </c>
      <c r="G1569" s="12" t="s">
        <v>5455</v>
      </c>
      <c r="H1569" s="12">
        <v>1</v>
      </c>
      <c r="I1569" s="13" t="str">
        <f>HYPERLINK("http://www.ncbi.nlm.nih.gov/gene/26268", "26268")</f>
        <v>26268</v>
      </c>
      <c r="J1569" s="12" t="s">
        <v>13765</v>
      </c>
      <c r="K1569" s="12" t="s">
        <v>13766</v>
      </c>
      <c r="L1569" s="13" t="str">
        <f>HYPERLINK("http://asia.ensembl.org/Homo_sapiens/Gene/Summary?g=ENSG00000112146", "ENSG00000112146")</f>
        <v>ENSG00000112146</v>
      </c>
      <c r="M1569" s="12" t="s">
        <v>13767</v>
      </c>
      <c r="N1569" s="12" t="s">
        <v>13768</v>
      </c>
    </row>
    <row r="1570" spans="1:14">
      <c r="A1570" s="12" t="s">
        <v>11405</v>
      </c>
      <c r="B1570" s="8">
        <v>1615.3627504710701</v>
      </c>
      <c r="C1570" s="12">
        <v>784.85052012048504</v>
      </c>
      <c r="D1570" s="8">
        <v>1.04136836238033</v>
      </c>
      <c r="E1570" s="12">
        <v>4.7897150634511002E-3</v>
      </c>
      <c r="F1570" s="8" t="s">
        <v>11406</v>
      </c>
      <c r="G1570" s="12" t="s">
        <v>11407</v>
      </c>
      <c r="H1570" s="12">
        <v>4</v>
      </c>
      <c r="I1570" s="12" t="s">
        <v>11408</v>
      </c>
      <c r="J1570" s="12" t="s">
        <v>11409</v>
      </c>
      <c r="K1570" s="12" t="s">
        <v>11410</v>
      </c>
      <c r="L1570" s="12" t="s">
        <v>11411</v>
      </c>
      <c r="M1570" s="12" t="s">
        <v>16129</v>
      </c>
      <c r="N1570" s="12" t="s">
        <v>16130</v>
      </c>
    </row>
    <row r="1571" spans="1:14">
      <c r="A1571" s="12" t="s">
        <v>3179</v>
      </c>
      <c r="B1571" s="8">
        <v>14906.921111457101</v>
      </c>
      <c r="C1571" s="12">
        <v>7242.99308592736</v>
      </c>
      <c r="D1571" s="8">
        <v>1.0413244096563301</v>
      </c>
      <c r="E1571" s="12">
        <v>1.43388084357875E-2</v>
      </c>
      <c r="F1571" s="8" t="s">
        <v>3180</v>
      </c>
      <c r="G1571" s="12" t="s">
        <v>12895</v>
      </c>
      <c r="H1571" s="12">
        <v>1</v>
      </c>
      <c r="I1571" s="13" t="str">
        <f>HYPERLINK("http://www.ncbi.nlm.nih.gov/gene/55699", "55699")</f>
        <v>55699</v>
      </c>
      <c r="J1571" s="13" t="str">
        <f>HYPERLINK("http://www.ncbi.nlm.nih.gov/nuccore/NM_018060", "NM_018060")</f>
        <v>NM_018060</v>
      </c>
      <c r="K1571" s="12" t="s">
        <v>3181</v>
      </c>
      <c r="L1571" s="13" t="str">
        <f>HYPERLINK("http://asia.ensembl.org/Homo_sapiens/Gene/Summary?g=ENSG00000067704", "ENSG00000067704")</f>
        <v>ENSG00000067704</v>
      </c>
      <c r="M1571" s="12" t="s">
        <v>12896</v>
      </c>
      <c r="N1571" s="12" t="s">
        <v>3182</v>
      </c>
    </row>
    <row r="1572" spans="1:14">
      <c r="A1572" s="12" t="s">
        <v>290</v>
      </c>
      <c r="B1572" s="8">
        <v>4372.5485944776501</v>
      </c>
      <c r="C1572" s="12">
        <v>2124.6342655605099</v>
      </c>
      <c r="D1572" s="8">
        <v>1.0412599005112</v>
      </c>
      <c r="E1572" s="12">
        <v>1.8579241679873699E-2</v>
      </c>
      <c r="F1572" s="8" t="s">
        <v>291</v>
      </c>
      <c r="G1572" s="12" t="s">
        <v>292</v>
      </c>
      <c r="H1572" s="12">
        <v>1</v>
      </c>
      <c r="I1572" s="13" t="str">
        <f>HYPERLINK("http://www.ncbi.nlm.nih.gov/gene/51315", "51315")</f>
        <v>51315</v>
      </c>
      <c r="J1572" s="13" t="str">
        <f>HYPERLINK("http://www.ncbi.nlm.nih.gov/nuccore/NM_016618", "NM_016618")</f>
        <v>NM_016618</v>
      </c>
      <c r="K1572" s="12" t="s">
        <v>293</v>
      </c>
      <c r="L1572" s="13" t="str">
        <f>HYPERLINK("http://asia.ensembl.org/Homo_sapiens/Gene/Summary?g=ENSG00000172086", "ENSG00000172086")</f>
        <v>ENSG00000172086</v>
      </c>
      <c r="M1572" s="12" t="s">
        <v>294</v>
      </c>
      <c r="N1572" s="12" t="s">
        <v>295</v>
      </c>
    </row>
    <row r="1573" spans="1:14">
      <c r="A1573" s="12" t="s">
        <v>1891</v>
      </c>
      <c r="B1573" s="8">
        <v>3005.7658039651101</v>
      </c>
      <c r="C1573" s="12">
        <v>1460.8336550122399</v>
      </c>
      <c r="D1573" s="8">
        <v>1.04094069724044</v>
      </c>
      <c r="E1573" s="12">
        <v>6.1314323276535397E-3</v>
      </c>
      <c r="F1573" s="8" t="s">
        <v>1892</v>
      </c>
      <c r="G1573" s="12" t="s">
        <v>1893</v>
      </c>
      <c r="H1573" s="12">
        <v>1</v>
      </c>
      <c r="I1573" s="13" t="str">
        <f>HYPERLINK("http://www.ncbi.nlm.nih.gov/gene/7257", "7257")</f>
        <v>7257</v>
      </c>
      <c r="J1573" s="13" t="str">
        <f>HYPERLINK("http://www.ncbi.nlm.nih.gov/nuccore/NM_005999", "NM_005999")</f>
        <v>NM_005999</v>
      </c>
      <c r="K1573" s="12" t="s">
        <v>1894</v>
      </c>
      <c r="L1573" s="13" t="str">
        <f>HYPERLINK("http://asia.ensembl.org/Homo_sapiens/Gene/Summary?g=ENSG00000116918", "ENSG00000116918")</f>
        <v>ENSG00000116918</v>
      </c>
      <c r="M1573" s="12" t="s">
        <v>12472</v>
      </c>
      <c r="N1573" s="12" t="s">
        <v>12473</v>
      </c>
    </row>
    <row r="1574" spans="1:14">
      <c r="A1574" s="12" t="s">
        <v>1974</v>
      </c>
      <c r="B1574" s="8">
        <v>885.30787944788199</v>
      </c>
      <c r="C1574" s="12">
        <v>430.278578353657</v>
      </c>
      <c r="D1574" s="8">
        <v>1.04090824513334</v>
      </c>
      <c r="E1574" s="12">
        <v>9.3151557663832107E-3</v>
      </c>
      <c r="F1574" s="8" t="s">
        <v>1975</v>
      </c>
      <c r="G1574" s="12" t="s">
        <v>1976</v>
      </c>
      <c r="H1574" s="12">
        <v>1</v>
      </c>
      <c r="I1574" s="13" t="str">
        <f>HYPERLINK("http://www.ncbi.nlm.nih.gov/gene/25852", "25852")</f>
        <v>25852</v>
      </c>
      <c r="J1574" s="12" t="s">
        <v>12496</v>
      </c>
      <c r="K1574" s="12" t="s">
        <v>12497</v>
      </c>
      <c r="L1574" s="13" t="str">
        <f>HYPERLINK("http://asia.ensembl.org/Homo_sapiens/Gene/Summary?g=ENSG00000114098", "ENSG00000114098")</f>
        <v>ENSG00000114098</v>
      </c>
      <c r="M1574" s="12" t="s">
        <v>12498</v>
      </c>
      <c r="N1574" s="12" t="s">
        <v>12499</v>
      </c>
    </row>
    <row r="1575" spans="1:14">
      <c r="A1575" s="12" t="s">
        <v>9467</v>
      </c>
      <c r="B1575" s="8">
        <v>876.45538728326596</v>
      </c>
      <c r="C1575" s="12">
        <v>426.01015131481398</v>
      </c>
      <c r="D1575" s="8">
        <v>1.0407928492374601</v>
      </c>
      <c r="E1575" s="12">
        <v>1.53232476316998E-3</v>
      </c>
      <c r="F1575" s="8" t="s">
        <v>1750</v>
      </c>
      <c r="G1575" s="12" t="s">
        <v>1751</v>
      </c>
      <c r="H1575" s="12">
        <v>1</v>
      </c>
      <c r="I1575" s="13" t="str">
        <f>HYPERLINK("http://www.ncbi.nlm.nih.gov/gene/8975", "8975")</f>
        <v>8975</v>
      </c>
      <c r="J1575" s="13" t="str">
        <f>HYPERLINK("http://www.ncbi.nlm.nih.gov/nuccore/NM_003940", "NM_003940")</f>
        <v>NM_003940</v>
      </c>
      <c r="K1575" s="12" t="s">
        <v>1752</v>
      </c>
      <c r="L1575" s="13" t="str">
        <f>HYPERLINK("http://asia.ensembl.org/Homo_sapiens/Gene/Summary?g=ENSG00000058056", "ENSG00000058056")</f>
        <v>ENSG00000058056</v>
      </c>
      <c r="M1575" s="12" t="s">
        <v>15037</v>
      </c>
      <c r="N1575" s="12" t="s">
        <v>15038</v>
      </c>
    </row>
    <row r="1576" spans="1:14">
      <c r="A1576" s="12" t="s">
        <v>3605</v>
      </c>
      <c r="B1576" s="8">
        <v>115.574369112779</v>
      </c>
      <c r="C1576" s="12">
        <v>56.176893288924099</v>
      </c>
      <c r="D1576" s="8">
        <v>1.04077273990079</v>
      </c>
      <c r="E1576" s="12">
        <v>1.4465663068002599E-3</v>
      </c>
      <c r="F1576" s="8" t="s">
        <v>3606</v>
      </c>
      <c r="G1576" s="12" t="s">
        <v>3607</v>
      </c>
      <c r="H1576" s="12">
        <v>1</v>
      </c>
      <c r="I1576" s="13" t="str">
        <f>HYPERLINK("http://www.ncbi.nlm.nih.gov/gene/286411", "286411")</f>
        <v>286411</v>
      </c>
      <c r="J1576" s="13" t="str">
        <f>HYPERLINK("http://www.ncbi.nlm.nih.gov/nuccore/NR_028344", "NR_028344")</f>
        <v>NR_028344</v>
      </c>
      <c r="K1576" s="12" t="s">
        <v>199</v>
      </c>
      <c r="L1576" s="13" t="str">
        <f>HYPERLINK("http://asia.ensembl.org/Homo_sapiens/Gene/Summary?g=ENSG00000203930", "ENSG00000203930")</f>
        <v>ENSG00000203930</v>
      </c>
      <c r="M1576" s="12" t="s">
        <v>13057</v>
      </c>
    </row>
    <row r="1577" spans="1:14">
      <c r="A1577" s="12" t="s">
        <v>10093</v>
      </c>
      <c r="B1577" s="8">
        <v>10295.716679307299</v>
      </c>
      <c r="C1577" s="12">
        <v>5004.9782169249002</v>
      </c>
      <c r="D1577" s="8">
        <v>1.0406085635200499</v>
      </c>
      <c r="E1577" s="12">
        <v>8.1060941424432598E-3</v>
      </c>
      <c r="F1577" s="8" t="s">
        <v>1634</v>
      </c>
      <c r="G1577" s="12" t="s">
        <v>406</v>
      </c>
      <c r="H1577" s="12">
        <v>1</v>
      </c>
      <c r="I1577" s="13" t="str">
        <f>HYPERLINK("http://www.ncbi.nlm.nih.gov/gene/25800", "25800")</f>
        <v>25800</v>
      </c>
      <c r="J1577" s="13" t="str">
        <f>HYPERLINK("http://www.ncbi.nlm.nih.gov/nuccore/NM_012319", "NM_012319")</f>
        <v>NM_012319</v>
      </c>
      <c r="K1577" s="12" t="s">
        <v>10094</v>
      </c>
      <c r="L1577" s="13" t="str">
        <f>HYPERLINK("http://asia.ensembl.org/Homo_sapiens/Gene/Summary?g=ENSG00000141424", "ENSG00000141424")</f>
        <v>ENSG00000141424</v>
      </c>
      <c r="M1577" s="12" t="s">
        <v>15294</v>
      </c>
      <c r="N1577" s="12" t="s">
        <v>15295</v>
      </c>
    </row>
    <row r="1578" spans="1:14">
      <c r="A1578" s="12" t="s">
        <v>9635</v>
      </c>
      <c r="B1578" s="8">
        <v>628.95593562112094</v>
      </c>
      <c r="C1578" s="12">
        <v>305.74987745181602</v>
      </c>
      <c r="D1578" s="8">
        <v>1.0406070255554201</v>
      </c>
      <c r="E1578" s="12">
        <v>1.51365780217316E-2</v>
      </c>
      <c r="F1578" s="8" t="s">
        <v>9636</v>
      </c>
      <c r="G1578" s="12" t="s">
        <v>9637</v>
      </c>
      <c r="H1578" s="12">
        <v>1</v>
      </c>
      <c r="I1578" s="13" t="str">
        <f>HYPERLINK("http://www.ncbi.nlm.nih.gov/gene/394", "394")</f>
        <v>394</v>
      </c>
      <c r="J1578" s="12" t="s">
        <v>15127</v>
      </c>
      <c r="K1578" s="12" t="s">
        <v>15128</v>
      </c>
      <c r="L1578" s="13" t="str">
        <f>HYPERLINK("http://asia.ensembl.org/Homo_sapiens/Gene/Summary?g=ENSG00000100852", "ENSG00000100852")</f>
        <v>ENSG00000100852</v>
      </c>
      <c r="M1578" s="12" t="s">
        <v>15129</v>
      </c>
      <c r="N1578" s="12" t="s">
        <v>15130</v>
      </c>
    </row>
    <row r="1579" spans="1:14">
      <c r="A1579" s="12" t="s">
        <v>9557</v>
      </c>
      <c r="B1579" s="8">
        <v>1785.55833632339</v>
      </c>
      <c r="C1579" s="12">
        <v>868.11814320017697</v>
      </c>
      <c r="D1579" s="8">
        <v>1.04041197008705</v>
      </c>
      <c r="E1579" s="12">
        <v>1.6836548136964301E-2</v>
      </c>
      <c r="F1579" s="8" t="s">
        <v>9558</v>
      </c>
      <c r="G1579" s="12" t="s">
        <v>15079</v>
      </c>
      <c r="H1579" s="12">
        <v>1</v>
      </c>
      <c r="I1579" s="13" t="str">
        <f>HYPERLINK("http://www.ncbi.nlm.nih.gov/gene/91137", "91137")</f>
        <v>91137</v>
      </c>
      <c r="J1579" s="13" t="str">
        <f>HYPERLINK("http://www.ncbi.nlm.nih.gov/nuccore/NM_138773", "NM_138773")</f>
        <v>NM_138773</v>
      </c>
      <c r="K1579" s="12" t="s">
        <v>9559</v>
      </c>
      <c r="L1579" s="13" t="str">
        <f>HYPERLINK("http://asia.ensembl.org/Homo_sapiens/Gene/Summary?g=ENSG00000164209", "ENSG00000164209")</f>
        <v>ENSG00000164209</v>
      </c>
      <c r="M1579" s="12" t="s">
        <v>15080</v>
      </c>
      <c r="N1579" s="12" t="s">
        <v>15081</v>
      </c>
    </row>
    <row r="1580" spans="1:14">
      <c r="A1580" s="12" t="s">
        <v>3116</v>
      </c>
      <c r="B1580" s="8">
        <v>739.18147537535197</v>
      </c>
      <c r="C1580" s="12">
        <v>359.43787996217497</v>
      </c>
      <c r="D1580" s="8">
        <v>1.0401861441411999</v>
      </c>
      <c r="E1580" s="12">
        <v>1.7415742432265301E-2</v>
      </c>
      <c r="F1580" s="8" t="s">
        <v>3117</v>
      </c>
      <c r="G1580" s="12" t="s">
        <v>3118</v>
      </c>
      <c r="H1580" s="12">
        <v>1</v>
      </c>
      <c r="I1580" s="13" t="str">
        <f>HYPERLINK("http://www.ncbi.nlm.nih.gov/gene/9965", "9965")</f>
        <v>9965</v>
      </c>
      <c r="J1580" s="13" t="str">
        <f>HYPERLINK("http://www.ncbi.nlm.nih.gov/nuccore/NM_005117", "NM_005117")</f>
        <v>NM_005117</v>
      </c>
      <c r="K1580" s="12" t="s">
        <v>3119</v>
      </c>
      <c r="L1580" s="13" t="str">
        <f>HYPERLINK("http://asia.ensembl.org/Homo_sapiens/Gene/Summary?g=ENSG00000162344", "ENSG00000162344")</f>
        <v>ENSG00000162344</v>
      </c>
      <c r="M1580" s="12" t="s">
        <v>3120</v>
      </c>
      <c r="N1580" s="12" t="s">
        <v>3121</v>
      </c>
    </row>
    <row r="1581" spans="1:14">
      <c r="A1581" s="12" t="s">
        <v>11776</v>
      </c>
      <c r="B1581" s="8">
        <v>5774.9995806581201</v>
      </c>
      <c r="C1581" s="12">
        <v>2808.36202388215</v>
      </c>
      <c r="D1581" s="8">
        <v>1.0400919173830501</v>
      </c>
      <c r="E1581" s="12">
        <v>2.87089034150401E-3</v>
      </c>
      <c r="F1581" s="8" t="s">
        <v>11777</v>
      </c>
      <c r="G1581" s="12" t="s">
        <v>11778</v>
      </c>
      <c r="H1581" s="12">
        <v>1</v>
      </c>
      <c r="I1581" s="13" t="str">
        <f>HYPERLINK("http://www.ncbi.nlm.nih.gov/gene/55726", "55726")</f>
        <v>55726</v>
      </c>
      <c r="J1581" s="13" t="str">
        <f>HYPERLINK("http://www.ncbi.nlm.nih.gov/nuccore/NM_018164", "NM_018164")</f>
        <v>NM_018164</v>
      </c>
      <c r="K1581" s="12" t="s">
        <v>11779</v>
      </c>
      <c r="L1581" s="13" t="str">
        <f>HYPERLINK("http://asia.ensembl.org/Homo_sapiens/Gene/Summary?g=ENSG00000064102", "ENSG00000064102")</f>
        <v>ENSG00000064102</v>
      </c>
      <c r="M1581" s="12" t="s">
        <v>16194</v>
      </c>
      <c r="N1581" s="12" t="s">
        <v>16195</v>
      </c>
    </row>
    <row r="1582" spans="1:14">
      <c r="A1582" s="12" t="s">
        <v>7980</v>
      </c>
      <c r="B1582" s="8">
        <v>227.93894140903399</v>
      </c>
      <c r="C1582" s="12">
        <v>110.848743824138</v>
      </c>
      <c r="D1582" s="8">
        <v>1.04005499652296</v>
      </c>
      <c r="E1582" s="12">
        <v>1.0578118318134299E-2</v>
      </c>
      <c r="F1582" s="8" t="s">
        <v>7981</v>
      </c>
      <c r="G1582" s="12" t="s">
        <v>14628</v>
      </c>
      <c r="H1582" s="12">
        <v>1</v>
      </c>
      <c r="I1582" s="13" t="str">
        <f>HYPERLINK("http://www.ncbi.nlm.nih.gov/gene/5163", "5163")</f>
        <v>5163</v>
      </c>
      <c r="J1582" s="13" t="str">
        <f>HYPERLINK("http://www.ncbi.nlm.nih.gov/nuccore/NM_002610", "NM_002610")</f>
        <v>NM_002610</v>
      </c>
      <c r="K1582" s="12" t="s">
        <v>7982</v>
      </c>
      <c r="L1582" s="13" t="str">
        <f>HYPERLINK("http://asia.ensembl.org/Homo_sapiens/Gene/Summary?g=ENSG00000152256", "ENSG00000152256")</f>
        <v>ENSG00000152256</v>
      </c>
      <c r="M1582" s="12" t="s">
        <v>14629</v>
      </c>
      <c r="N1582" s="12" t="s">
        <v>14630</v>
      </c>
    </row>
    <row r="1583" spans="1:14">
      <c r="A1583" s="12" t="s">
        <v>4344</v>
      </c>
      <c r="B1583" s="8">
        <v>229.108235789921</v>
      </c>
      <c r="C1583" s="12">
        <v>111.49246089538499</v>
      </c>
      <c r="D1583" s="8">
        <v>1.0390831617542999</v>
      </c>
      <c r="E1583" s="12">
        <v>1.67809889379042E-3</v>
      </c>
      <c r="F1583" s="8" t="s">
        <v>4345</v>
      </c>
      <c r="G1583" s="12" t="s">
        <v>4346</v>
      </c>
      <c r="H1583" s="12">
        <v>1</v>
      </c>
      <c r="I1583" s="13" t="str">
        <f>HYPERLINK("http://www.ncbi.nlm.nih.gov/gene/79739", "79739")</f>
        <v>79739</v>
      </c>
      <c r="J1583" s="13" t="str">
        <f>HYPERLINK("http://www.ncbi.nlm.nih.gov/nuccore/NM_024686", "NM_024686")</f>
        <v>NM_024686</v>
      </c>
      <c r="K1583" s="12" t="s">
        <v>4347</v>
      </c>
      <c r="L1583" s="13" t="str">
        <f>HYPERLINK("http://asia.ensembl.org/Homo_sapiens/Gene/Summary?g=ENSG00000137941", "ENSG00000137941")</f>
        <v>ENSG00000137941</v>
      </c>
      <c r="M1583" s="12" t="s">
        <v>13204</v>
      </c>
      <c r="N1583" s="12" t="s">
        <v>13205</v>
      </c>
    </row>
    <row r="1584" spans="1:14">
      <c r="A1584" s="12" t="s">
        <v>5286</v>
      </c>
      <c r="B1584" s="8">
        <v>2207.8765288415898</v>
      </c>
      <c r="C1584" s="12">
        <v>1074.59516950954</v>
      </c>
      <c r="D1584" s="8">
        <v>1.03886623647591</v>
      </c>
      <c r="E1584" s="12">
        <v>6.4422769744545199E-3</v>
      </c>
      <c r="F1584" s="8" t="s">
        <v>5287</v>
      </c>
      <c r="G1584" s="12" t="s">
        <v>5288</v>
      </c>
      <c r="H1584" s="12">
        <v>1</v>
      </c>
      <c r="I1584" s="13" t="str">
        <f>HYPERLINK("http://www.ncbi.nlm.nih.gov/gene/9874", "9874")</f>
        <v>9874</v>
      </c>
      <c r="J1584" s="12" t="s">
        <v>13658</v>
      </c>
      <c r="K1584" s="12" t="s">
        <v>13659</v>
      </c>
      <c r="L1584" s="13" t="str">
        <f>HYPERLINK("http://asia.ensembl.org/Homo_sapiens/Gene/Summary?g=ENSG00000198586", "ENSG00000198586")</f>
        <v>ENSG00000198586</v>
      </c>
      <c r="M1584" s="12" t="s">
        <v>13660</v>
      </c>
      <c r="N1584" s="12" t="s">
        <v>13661</v>
      </c>
    </row>
    <row r="1585" spans="1:14">
      <c r="A1585" s="12" t="s">
        <v>4062</v>
      </c>
      <c r="B1585" s="8">
        <v>1763.7030191593401</v>
      </c>
      <c r="C1585" s="12">
        <v>858.63756553136602</v>
      </c>
      <c r="D1585" s="8">
        <v>1.0384864559615801</v>
      </c>
      <c r="E1585" s="12">
        <v>1.8112985201170901E-2</v>
      </c>
      <c r="F1585" s="8" t="s">
        <v>4063</v>
      </c>
      <c r="G1585" s="12" t="s">
        <v>4064</v>
      </c>
      <c r="H1585" s="12">
        <v>1</v>
      </c>
      <c r="I1585" s="13" t="str">
        <f>HYPERLINK("http://www.ncbi.nlm.nih.gov/gene/3073", "3073")</f>
        <v>3073</v>
      </c>
      <c r="J1585" s="13" t="str">
        <f>HYPERLINK("http://www.ncbi.nlm.nih.gov/nuccore/NM_000520", "NM_000520")</f>
        <v>NM_000520</v>
      </c>
      <c r="K1585" s="12" t="s">
        <v>4065</v>
      </c>
      <c r="L1585" s="13" t="str">
        <f>HYPERLINK("http://asia.ensembl.org/Homo_sapiens/Gene/Summary?g=ENSG00000213614", "ENSG00000213614")</f>
        <v>ENSG00000213614</v>
      </c>
      <c r="M1585" s="12" t="s">
        <v>13164</v>
      </c>
      <c r="N1585" s="12" t="s">
        <v>13165</v>
      </c>
    </row>
    <row r="1586" spans="1:14">
      <c r="A1586" s="12" t="s">
        <v>2854</v>
      </c>
      <c r="B1586" s="8">
        <v>10144.145526447501</v>
      </c>
      <c r="C1586" s="12">
        <v>4938.5882326635001</v>
      </c>
      <c r="D1586" s="8">
        <v>1.0384767569529101</v>
      </c>
      <c r="E1586" s="12">
        <v>5.9826973661818196E-3</v>
      </c>
      <c r="F1586" s="8" t="s">
        <v>2855</v>
      </c>
      <c r="G1586" s="12" t="s">
        <v>12807</v>
      </c>
      <c r="H1586" s="12">
        <v>1</v>
      </c>
      <c r="I1586" s="13" t="str">
        <f>HYPERLINK("http://www.ncbi.nlm.nih.gov/gene/9031", "9031")</f>
        <v>9031</v>
      </c>
      <c r="J1586" s="13" t="str">
        <f>HYPERLINK("http://www.ncbi.nlm.nih.gov/nuccore/NM_032408", "NM_032408")</f>
        <v>NM_032408</v>
      </c>
      <c r="K1586" s="12" t="s">
        <v>2856</v>
      </c>
      <c r="L1586" s="13" t="str">
        <f>HYPERLINK("http://asia.ensembl.org/Homo_sapiens/Gene/Summary?g=ENSG00000009954", "ENSG00000009954")</f>
        <v>ENSG00000009954</v>
      </c>
      <c r="M1586" s="12" t="s">
        <v>12808</v>
      </c>
      <c r="N1586" s="12" t="s">
        <v>12809</v>
      </c>
    </row>
    <row r="1587" spans="1:14">
      <c r="A1587" s="12" t="s">
        <v>10718</v>
      </c>
      <c r="B1587" s="8">
        <v>3080.69419204407</v>
      </c>
      <c r="C1587" s="12">
        <v>1500.2461398519199</v>
      </c>
      <c r="D1587" s="8">
        <v>1.0380562612326101</v>
      </c>
      <c r="E1587" s="12">
        <v>7.6536255113811898E-3</v>
      </c>
      <c r="F1587" s="8" t="s">
        <v>1045</v>
      </c>
      <c r="G1587" s="12" t="s">
        <v>1046</v>
      </c>
      <c r="H1587" s="12">
        <v>1</v>
      </c>
      <c r="I1587" s="13" t="str">
        <f>HYPERLINK("http://www.ncbi.nlm.nih.gov/gene/22823", "22823")</f>
        <v>22823</v>
      </c>
      <c r="J1587" s="12" t="s">
        <v>12213</v>
      </c>
      <c r="K1587" s="12" t="s">
        <v>12214</v>
      </c>
      <c r="L1587" s="13" t="str">
        <f>HYPERLINK("http://asia.ensembl.org/Homo_sapiens/Gene/Summary?g=ENSG00000143033", "ENSG00000143033")</f>
        <v>ENSG00000143033</v>
      </c>
      <c r="M1587" s="12" t="s">
        <v>12215</v>
      </c>
      <c r="N1587" s="12" t="s">
        <v>12216</v>
      </c>
    </row>
    <row r="1588" spans="1:14">
      <c r="A1588" s="12" t="s">
        <v>4021</v>
      </c>
      <c r="B1588" s="8">
        <v>859.63692670023602</v>
      </c>
      <c r="C1588" s="12">
        <v>418.65254809917298</v>
      </c>
      <c r="D1588" s="8">
        <v>1.0379740507205399</v>
      </c>
      <c r="E1588" s="12">
        <v>8.9362075200361403E-4</v>
      </c>
      <c r="F1588" s="8" t="s">
        <v>4022</v>
      </c>
      <c r="G1588" s="12" t="s">
        <v>4023</v>
      </c>
      <c r="H1588" s="12">
        <v>1</v>
      </c>
      <c r="I1588" s="13" t="str">
        <f>HYPERLINK("http://www.ncbi.nlm.nih.gov/gene/81848", "81848")</f>
        <v>81848</v>
      </c>
      <c r="J1588" s="12" t="s">
        <v>13154</v>
      </c>
      <c r="K1588" s="12" t="s">
        <v>13155</v>
      </c>
      <c r="L1588" s="13" t="str">
        <f>HYPERLINK("http://asia.ensembl.org/Homo_sapiens/Gene/Summary?g=ENSG00000187678", "ENSG00000187678")</f>
        <v>ENSG00000187678</v>
      </c>
      <c r="M1588" s="12" t="s">
        <v>13156</v>
      </c>
      <c r="N1588" s="12" t="s">
        <v>13157</v>
      </c>
    </row>
    <row r="1589" spans="1:14">
      <c r="A1589" s="12" t="s">
        <v>9602</v>
      </c>
      <c r="B1589" s="8">
        <v>3381.8624182333301</v>
      </c>
      <c r="C1589" s="12">
        <v>1647.25182608411</v>
      </c>
      <c r="D1589" s="8">
        <v>1.0377568427791299</v>
      </c>
      <c r="E1589" s="12">
        <v>8.2719866310923592E-3</v>
      </c>
      <c r="F1589" s="8" t="s">
        <v>4159</v>
      </c>
      <c r="G1589" s="12" t="s">
        <v>4160</v>
      </c>
      <c r="H1589" s="12">
        <v>1</v>
      </c>
      <c r="I1589" s="13" t="str">
        <f>HYPERLINK("http://www.ncbi.nlm.nih.gov/gene/55646", "55646")</f>
        <v>55646</v>
      </c>
      <c r="J1589" s="12" t="s">
        <v>15096</v>
      </c>
      <c r="K1589" s="12" t="s">
        <v>15097</v>
      </c>
      <c r="L1589" s="13" t="str">
        <f>HYPERLINK("http://asia.ensembl.org/Homo_sapiens/Gene/Summary?g=ENSG00000145220", "ENSG00000145220")</f>
        <v>ENSG00000145220</v>
      </c>
      <c r="M1589" s="12" t="s">
        <v>15098</v>
      </c>
      <c r="N1589" s="12" t="s">
        <v>15099</v>
      </c>
    </row>
    <row r="1590" spans="1:14">
      <c r="A1590" s="12" t="s">
        <v>6006</v>
      </c>
      <c r="B1590" s="8">
        <v>598.79202819112197</v>
      </c>
      <c r="C1590" s="12">
        <v>291.668578336932</v>
      </c>
      <c r="D1590" s="8">
        <v>1.0377250426606801</v>
      </c>
      <c r="E1590" s="12">
        <v>3.3049165662568398E-3</v>
      </c>
      <c r="F1590" s="8" t="s">
        <v>6007</v>
      </c>
      <c r="G1590" s="12" t="s">
        <v>6008</v>
      </c>
      <c r="H1590" s="12">
        <v>1</v>
      </c>
      <c r="I1590" s="13" t="str">
        <f>HYPERLINK("http://www.ncbi.nlm.nih.gov/gene/4436", "4436")</f>
        <v>4436</v>
      </c>
      <c r="J1590" s="12" t="s">
        <v>14004</v>
      </c>
      <c r="K1590" s="12" t="s">
        <v>14005</v>
      </c>
      <c r="L1590" s="13" t="str">
        <f>HYPERLINK("http://asia.ensembl.org/Homo_sapiens/Gene/Summary?g=ENSG00000095002", "ENSG00000095002")</f>
        <v>ENSG00000095002</v>
      </c>
      <c r="M1590" s="12" t="s">
        <v>14006</v>
      </c>
      <c r="N1590" s="12" t="s">
        <v>14007</v>
      </c>
    </row>
    <row r="1591" spans="1:14">
      <c r="A1591" s="12" t="s">
        <v>6835</v>
      </c>
      <c r="B1591" s="8">
        <v>155.688333821192</v>
      </c>
      <c r="C1591" s="12">
        <v>75.851048513789493</v>
      </c>
      <c r="D1591" s="8">
        <v>1.0374198145725899</v>
      </c>
      <c r="E1591" s="12">
        <v>1.9246998437825601E-3</v>
      </c>
      <c r="F1591" s="8" t="s">
        <v>6836</v>
      </c>
      <c r="G1591" s="12" t="s">
        <v>93</v>
      </c>
      <c r="H1591" s="12">
        <v>1</v>
      </c>
      <c r="I1591" s="13" t="str">
        <f>HYPERLINK("http://www.ncbi.nlm.nih.gov/gene/79982", "79982")</f>
        <v>79982</v>
      </c>
      <c r="J1591" s="13" t="str">
        <f>HYPERLINK("http://www.ncbi.nlm.nih.gov/nuccore/NM_001031723", "NM_001031723")</f>
        <v>NM_001031723</v>
      </c>
      <c r="K1591" s="12" t="s">
        <v>6837</v>
      </c>
      <c r="L1591" s="13" t="str">
        <f>HYPERLINK("http://asia.ensembl.org/Homo_sapiens/Gene/Summary?g=ENSG00000164031", "ENSG00000164031")</f>
        <v>ENSG00000164031</v>
      </c>
      <c r="M1591" s="12" t="s">
        <v>14268</v>
      </c>
      <c r="N1591" s="12" t="s">
        <v>14269</v>
      </c>
    </row>
    <row r="1592" spans="1:14">
      <c r="A1592" s="12" t="s">
        <v>6074</v>
      </c>
      <c r="B1592" s="8">
        <v>771.732176062284</v>
      </c>
      <c r="C1592" s="12">
        <v>376.17846709390898</v>
      </c>
      <c r="D1592" s="8">
        <v>1.03668298808708</v>
      </c>
      <c r="E1592" s="12">
        <v>1.1162005117007901E-2</v>
      </c>
      <c r="F1592" s="8" t="s">
        <v>6075</v>
      </c>
      <c r="G1592" s="12" t="s">
        <v>6076</v>
      </c>
      <c r="H1592" s="12">
        <v>1</v>
      </c>
      <c r="I1592" s="13" t="str">
        <f>HYPERLINK("http://www.ncbi.nlm.nih.gov/gene/9933", "9933")</f>
        <v>9933</v>
      </c>
      <c r="J1592" s="13" t="str">
        <f>HYPERLINK("http://www.ncbi.nlm.nih.gov/nuccore/NM_014878", "NM_014878")</f>
        <v>NM_014878</v>
      </c>
      <c r="K1592" s="12" t="s">
        <v>6077</v>
      </c>
      <c r="L1592" s="13" t="str">
        <f>HYPERLINK("http://asia.ensembl.org/Homo_sapiens/Gene/Summary?g=ENSG00000080608", "ENSG00000080608")</f>
        <v>ENSG00000080608</v>
      </c>
      <c r="M1592" s="12" t="s">
        <v>14028</v>
      </c>
      <c r="N1592" s="12" t="s">
        <v>14029</v>
      </c>
    </row>
    <row r="1593" spans="1:14">
      <c r="A1593" s="12" t="s">
        <v>4671</v>
      </c>
      <c r="B1593" s="8">
        <v>240.57855398946199</v>
      </c>
      <c r="C1593" s="12">
        <v>117.27820681357601</v>
      </c>
      <c r="D1593" s="8">
        <v>1.0365730914699001</v>
      </c>
      <c r="E1593" s="12">
        <v>7.2894191814497702E-3</v>
      </c>
      <c r="F1593" s="8" t="s">
        <v>4672</v>
      </c>
      <c r="G1593" s="12" t="s">
        <v>4673</v>
      </c>
      <c r="H1593" s="12">
        <v>1</v>
      </c>
      <c r="I1593" s="13" t="str">
        <f>HYPERLINK("http://www.ncbi.nlm.nih.gov/gene/163590", "163590")</f>
        <v>163590</v>
      </c>
      <c r="J1593" s="12" t="s">
        <v>13338</v>
      </c>
      <c r="K1593" s="12" t="s">
        <v>13339</v>
      </c>
      <c r="L1593" s="13" t="str">
        <f>HYPERLINK("http://asia.ensembl.org/Homo_sapiens/Gene/Summary?g=ENSG00000169905", "ENSG00000169905")</f>
        <v>ENSG00000169905</v>
      </c>
      <c r="M1593" s="12" t="s">
        <v>13340</v>
      </c>
      <c r="N1593" s="12" t="s">
        <v>13341</v>
      </c>
    </row>
    <row r="1594" spans="1:14">
      <c r="A1594" s="12" t="s">
        <v>3675</v>
      </c>
      <c r="B1594" s="8">
        <v>347.42711437253098</v>
      </c>
      <c r="C1594" s="12">
        <v>169.37081807365999</v>
      </c>
      <c r="D1594" s="8">
        <v>1.03652502578651</v>
      </c>
      <c r="E1594" s="12">
        <v>4.7581399919049304E-3</v>
      </c>
      <c r="F1594" s="8" t="s">
        <v>3676</v>
      </c>
      <c r="G1594" s="12" t="s">
        <v>13069</v>
      </c>
      <c r="H1594" s="12">
        <v>1</v>
      </c>
      <c r="I1594" s="13" t="str">
        <f>HYPERLINK("http://www.ncbi.nlm.nih.gov/gene/151636", "151636")</f>
        <v>151636</v>
      </c>
      <c r="J1594" s="13" t="str">
        <f>HYPERLINK("http://www.ncbi.nlm.nih.gov/nuccore/NM_138287", "NM_138287")</f>
        <v>NM_138287</v>
      </c>
      <c r="K1594" s="12" t="s">
        <v>3677</v>
      </c>
      <c r="L1594" s="13" t="str">
        <f>HYPERLINK("http://asia.ensembl.org/Homo_sapiens/Gene/Summary?g=ENSG00000163840", "ENSG00000163840")</f>
        <v>ENSG00000163840</v>
      </c>
      <c r="M1594" s="12" t="s">
        <v>13070</v>
      </c>
      <c r="N1594" s="12" t="s">
        <v>13071</v>
      </c>
    </row>
    <row r="1595" spans="1:14">
      <c r="A1595" s="12" t="s">
        <v>1100</v>
      </c>
      <c r="B1595" s="8">
        <v>602.38577755615597</v>
      </c>
      <c r="C1595" s="12">
        <v>293.67319696884499</v>
      </c>
      <c r="D1595" s="8">
        <v>1.0364761086482499</v>
      </c>
      <c r="E1595" s="12">
        <v>2.7688487311269198E-3</v>
      </c>
      <c r="F1595" s="8" t="s">
        <v>1101</v>
      </c>
      <c r="G1595" s="12" t="s">
        <v>1102</v>
      </c>
      <c r="H1595" s="12">
        <v>1</v>
      </c>
      <c r="I1595" s="13" t="str">
        <f>HYPERLINK("http://www.ncbi.nlm.nih.gov/gene/92342", "92342")</f>
        <v>92342</v>
      </c>
      <c r="J1595" s="13" t="str">
        <f>HYPERLINK("http://www.ncbi.nlm.nih.gov/nuccore/NM_033418", "NM_033418")</f>
        <v>NM_033418</v>
      </c>
      <c r="K1595" s="12" t="s">
        <v>1103</v>
      </c>
      <c r="L1595" s="13" t="str">
        <f>HYPERLINK("http://asia.ensembl.org/Homo_sapiens/Gene/Summary?g=ENSG00000171806", "ENSG00000171806")</f>
        <v>ENSG00000171806</v>
      </c>
      <c r="M1595" s="12" t="s">
        <v>12224</v>
      </c>
      <c r="N1595" s="12" t="s">
        <v>12225</v>
      </c>
    </row>
    <row r="1596" spans="1:14">
      <c r="A1596" s="12" t="s">
        <v>10562</v>
      </c>
      <c r="B1596" s="8">
        <v>2614.3981525746999</v>
      </c>
      <c r="C1596" s="12">
        <v>1274.7962776122099</v>
      </c>
      <c r="D1596" s="8">
        <v>1.03621215755309</v>
      </c>
      <c r="E1596" s="12">
        <v>7.48250259312982E-4</v>
      </c>
      <c r="F1596" s="8" t="s">
        <v>496</v>
      </c>
      <c r="G1596" s="12" t="s">
        <v>288</v>
      </c>
      <c r="H1596" s="12">
        <v>1</v>
      </c>
      <c r="I1596" s="13" t="str">
        <f>HYPERLINK("http://www.ncbi.nlm.nih.gov/gene/10672", "10672")</f>
        <v>10672</v>
      </c>
      <c r="J1596" s="13" t="str">
        <f>HYPERLINK("http://www.ncbi.nlm.nih.gov/nuccore/NM_006572", "NM_006572")</f>
        <v>NM_006572</v>
      </c>
      <c r="K1596" s="12" t="s">
        <v>497</v>
      </c>
      <c r="L1596" s="13" t="str">
        <f>HYPERLINK("http://asia.ensembl.org/Homo_sapiens/Gene/Summary?g=ENSG00000120063", "ENSG00000120063")</f>
        <v>ENSG00000120063</v>
      </c>
      <c r="M1596" s="12" t="s">
        <v>11999</v>
      </c>
      <c r="N1596" s="12" t="s">
        <v>12000</v>
      </c>
    </row>
    <row r="1597" spans="1:14">
      <c r="A1597" s="12" t="s">
        <v>8691</v>
      </c>
      <c r="B1597" s="8">
        <v>4241.2998857334096</v>
      </c>
      <c r="C1597" s="12">
        <v>2069.30062800209</v>
      </c>
      <c r="D1597" s="8">
        <v>1.03536323870219</v>
      </c>
      <c r="E1597" s="12">
        <v>6.6229972413499602E-3</v>
      </c>
      <c r="F1597" s="8" t="s">
        <v>38</v>
      </c>
      <c r="G1597" s="12" t="s">
        <v>38</v>
      </c>
      <c r="H1597" s="12">
        <v>1</v>
      </c>
      <c r="I1597" s="12" t="s">
        <v>38</v>
      </c>
      <c r="J1597" s="12" t="s">
        <v>38</v>
      </c>
      <c r="K1597" s="12" t="s">
        <v>38</v>
      </c>
      <c r="L1597" s="13" t="str">
        <f>HYPERLINK("http://asia.ensembl.org/Homo_sapiens/Gene/Summary?g=ENSG00000184743", "ENSG00000184743")</f>
        <v>ENSG00000184743</v>
      </c>
      <c r="M1597" s="12" t="s">
        <v>8692</v>
      </c>
      <c r="N1597" s="12" t="s">
        <v>14824</v>
      </c>
    </row>
    <row r="1598" spans="1:14">
      <c r="A1598" s="12" t="s">
        <v>10009</v>
      </c>
      <c r="B1598" s="8">
        <v>115.199717239308</v>
      </c>
      <c r="C1598" s="12">
        <v>56.208660353538001</v>
      </c>
      <c r="D1598" s="8">
        <v>1.03527283962137</v>
      </c>
      <c r="E1598" s="12">
        <v>2.7258858894686801E-2</v>
      </c>
      <c r="F1598" s="8" t="s">
        <v>10010</v>
      </c>
      <c r="G1598" s="12" t="s">
        <v>10011</v>
      </c>
      <c r="H1598" s="12">
        <v>1</v>
      </c>
      <c r="I1598" s="13" t="str">
        <f>HYPERLINK("http://www.ncbi.nlm.nih.gov/gene/386684", "386684")</f>
        <v>386684</v>
      </c>
      <c r="J1598" s="13" t="str">
        <f>HYPERLINK("http://www.ncbi.nlm.nih.gov/nuccore/NM_198698", "NM_198698")</f>
        <v>NM_198698</v>
      </c>
      <c r="K1598" s="12" t="s">
        <v>10012</v>
      </c>
      <c r="L1598" s="13" t="str">
        <f>HYPERLINK("http://asia.ensembl.org/Homo_sapiens/Gene/Summary?g=ENSG00000212933", "ENSG00000212933")</f>
        <v>ENSG00000212933</v>
      </c>
      <c r="M1598" s="12" t="s">
        <v>10013</v>
      </c>
      <c r="N1598" s="12" t="s">
        <v>10014</v>
      </c>
    </row>
    <row r="1599" spans="1:14">
      <c r="A1599" s="12" t="s">
        <v>2893</v>
      </c>
      <c r="B1599" s="8">
        <v>1313.9653093895599</v>
      </c>
      <c r="C1599" s="12">
        <v>641.14270800659301</v>
      </c>
      <c r="D1599" s="8">
        <v>1.0352097685952599</v>
      </c>
      <c r="E1599" s="12">
        <v>3.7333917816289798E-3</v>
      </c>
      <c r="F1599" s="8" t="s">
        <v>2894</v>
      </c>
      <c r="G1599" s="12" t="s">
        <v>2895</v>
      </c>
      <c r="H1599" s="12">
        <v>1</v>
      </c>
      <c r="I1599" s="13" t="str">
        <f>HYPERLINK("http://www.ncbi.nlm.nih.gov/gene/27347", "27347")</f>
        <v>27347</v>
      </c>
      <c r="J1599" s="13" t="str">
        <f>HYPERLINK("http://www.ncbi.nlm.nih.gov/nuccore/NM_013233", "NM_013233")</f>
        <v>NM_013233</v>
      </c>
      <c r="K1599" s="12" t="s">
        <v>2896</v>
      </c>
      <c r="L1599" s="13" t="str">
        <f>HYPERLINK("http://asia.ensembl.org/Homo_sapiens/Gene/Summary?g=ENSG00000198648", "ENSG00000198648")</f>
        <v>ENSG00000198648</v>
      </c>
      <c r="M1599" s="12" t="s">
        <v>12829</v>
      </c>
      <c r="N1599" s="12" t="s">
        <v>2897</v>
      </c>
    </row>
    <row r="1600" spans="1:14">
      <c r="A1600" s="12" t="s">
        <v>2447</v>
      </c>
      <c r="B1600" s="8">
        <v>13786.3091309299</v>
      </c>
      <c r="C1600" s="12">
        <v>6727.4362736534904</v>
      </c>
      <c r="D1600" s="8">
        <v>1.0351075454338701</v>
      </c>
      <c r="E1600" s="12">
        <v>2.0458781247410501E-3</v>
      </c>
      <c r="F1600" s="8" t="s">
        <v>2448</v>
      </c>
      <c r="G1600" s="12" t="s">
        <v>12645</v>
      </c>
      <c r="H1600" s="12">
        <v>1</v>
      </c>
      <c r="I1600" s="13" t="str">
        <f>HYPERLINK("http://www.ncbi.nlm.nih.gov/gene/6594", "6594")</f>
        <v>6594</v>
      </c>
      <c r="J1600" s="13" t="str">
        <f>HYPERLINK("http://www.ncbi.nlm.nih.gov/nuccore/NM_003069", "NM_003069")</f>
        <v>NM_003069</v>
      </c>
      <c r="K1600" s="12" t="s">
        <v>2449</v>
      </c>
      <c r="L1600" s="13" t="str">
        <f>HYPERLINK("http://asia.ensembl.org/Homo_sapiens/Gene/Summary?g=ENSG00000102038", "ENSG00000102038")</f>
        <v>ENSG00000102038</v>
      </c>
      <c r="M1600" s="12" t="s">
        <v>12646</v>
      </c>
      <c r="N1600" s="12" t="s">
        <v>12647</v>
      </c>
    </row>
    <row r="1601" spans="1:14">
      <c r="A1601" s="12" t="s">
        <v>10683</v>
      </c>
      <c r="B1601" s="8">
        <v>1164.1927786973599</v>
      </c>
      <c r="C1601" s="12">
        <v>568.14945538804295</v>
      </c>
      <c r="D1601" s="8">
        <v>1.0349875788913301</v>
      </c>
      <c r="E1601" s="12">
        <v>2.80129126162032E-3</v>
      </c>
      <c r="F1601" s="8" t="s">
        <v>4608</v>
      </c>
      <c r="G1601" s="12" t="s">
        <v>4609</v>
      </c>
      <c r="H1601" s="12">
        <v>1</v>
      </c>
      <c r="I1601" s="13" t="str">
        <f>HYPERLINK("http://www.ncbi.nlm.nih.gov/gene/54916", "54916")</f>
        <v>54916</v>
      </c>
      <c r="J1601" s="13" t="str">
        <f>HYPERLINK("http://www.ncbi.nlm.nih.gov/nuccore/NM_017799", "NM_017799")</f>
        <v>NM_017799</v>
      </c>
      <c r="K1601" s="12" t="s">
        <v>4610</v>
      </c>
      <c r="L1601" s="13" t="str">
        <f>HYPERLINK("http://asia.ensembl.org/Homo_sapiens/Gene/Summary?g=ENSG00000070269", "ENSG00000070269")</f>
        <v>ENSG00000070269</v>
      </c>
      <c r="M1601" s="12" t="s">
        <v>15707</v>
      </c>
      <c r="N1601" s="12" t="s">
        <v>15708</v>
      </c>
    </row>
    <row r="1602" spans="1:14">
      <c r="A1602" s="12" t="s">
        <v>9829</v>
      </c>
      <c r="B1602" s="8">
        <v>602.68212364488602</v>
      </c>
      <c r="C1602" s="12">
        <v>294.15613299145502</v>
      </c>
      <c r="D1602" s="8">
        <v>1.03481515721662</v>
      </c>
      <c r="E1602" s="12">
        <v>1.0566472125987899E-2</v>
      </c>
      <c r="F1602" s="8" t="s">
        <v>9830</v>
      </c>
      <c r="G1602" s="12" t="s">
        <v>9831</v>
      </c>
      <c r="H1602" s="12">
        <v>1</v>
      </c>
      <c r="I1602" s="13" t="str">
        <f>HYPERLINK("http://www.ncbi.nlm.nih.gov/gene/285989", "285989")</f>
        <v>285989</v>
      </c>
      <c r="J1602" s="13" t="str">
        <f>HYPERLINK("http://www.ncbi.nlm.nih.gov/nuccore/NM_213603", "NM_213603")</f>
        <v>NM_213603</v>
      </c>
      <c r="K1602" s="12" t="s">
        <v>9832</v>
      </c>
      <c r="L1602" s="13" t="str">
        <f>HYPERLINK("http://asia.ensembl.org/Homo_sapiens/Gene/Summary?g=ENSG00000198556", "ENSG00000198556")</f>
        <v>ENSG00000198556</v>
      </c>
      <c r="M1602" s="12" t="s">
        <v>15186</v>
      </c>
      <c r="N1602" s="12" t="s">
        <v>15187</v>
      </c>
    </row>
    <row r="1603" spans="1:14">
      <c r="A1603" s="12" t="s">
        <v>10710</v>
      </c>
      <c r="B1603" s="8">
        <v>4562.8680649656699</v>
      </c>
      <c r="C1603" s="12">
        <v>2227.3673974038002</v>
      </c>
      <c r="D1603" s="8">
        <v>1.0346013930879501</v>
      </c>
      <c r="E1603" s="12">
        <v>6.8720768806113204E-3</v>
      </c>
      <c r="F1603" s="8" t="s">
        <v>5422</v>
      </c>
      <c r="G1603" s="12" t="s">
        <v>5423</v>
      </c>
      <c r="H1603" s="12">
        <v>1</v>
      </c>
      <c r="I1603" s="13" t="str">
        <f>HYPERLINK("http://www.ncbi.nlm.nih.gov/gene/8648", "8648")</f>
        <v>8648</v>
      </c>
      <c r="J1603" s="12" t="s">
        <v>15743</v>
      </c>
      <c r="K1603" s="12" t="s">
        <v>15744</v>
      </c>
      <c r="L1603" s="13" t="str">
        <f>HYPERLINK("http://asia.ensembl.org/Homo_sapiens/Gene/Summary?g=ENSG00000084676", "ENSG00000084676")</f>
        <v>ENSG00000084676</v>
      </c>
      <c r="M1603" s="12" t="s">
        <v>15745</v>
      </c>
      <c r="N1603" s="12" t="s">
        <v>15746</v>
      </c>
    </row>
    <row r="1604" spans="1:14">
      <c r="A1604" s="12" t="s">
        <v>11312</v>
      </c>
      <c r="B1604" s="8">
        <v>918.13604721219497</v>
      </c>
      <c r="C1604" s="12">
        <v>448.226553418854</v>
      </c>
      <c r="D1604" s="8">
        <v>1.03447982642103</v>
      </c>
      <c r="E1604" s="12">
        <v>7.2863275892431504E-3</v>
      </c>
      <c r="F1604" s="8" t="s">
        <v>4388</v>
      </c>
      <c r="G1604" s="12" t="s">
        <v>4389</v>
      </c>
      <c r="H1604" s="12">
        <v>1</v>
      </c>
      <c r="I1604" s="13" t="str">
        <f>HYPERLINK("http://www.ncbi.nlm.nih.gov/gene/51377", "51377")</f>
        <v>51377</v>
      </c>
      <c r="J1604" s="12" t="s">
        <v>16097</v>
      </c>
      <c r="K1604" s="12" t="s">
        <v>16098</v>
      </c>
      <c r="L1604" s="13" t="str">
        <f>HYPERLINK("http://asia.ensembl.org/Homo_sapiens/Gene/Summary?g=ENSG00000116750", "ENSG00000116750")</f>
        <v>ENSG00000116750</v>
      </c>
      <c r="M1604" s="12" t="s">
        <v>13223</v>
      </c>
      <c r="N1604" s="12" t="s">
        <v>13224</v>
      </c>
    </row>
    <row r="1605" spans="1:14">
      <c r="A1605" s="12" t="s">
        <v>8681</v>
      </c>
      <c r="B1605" s="8">
        <v>931.65183139376904</v>
      </c>
      <c r="C1605" s="12">
        <v>454.98931822474401</v>
      </c>
      <c r="D1605" s="8">
        <v>1.0339582288992</v>
      </c>
      <c r="E1605" s="12">
        <v>2.38412028476544E-3</v>
      </c>
      <c r="F1605" s="8" t="s">
        <v>7251</v>
      </c>
      <c r="G1605" s="12" t="s">
        <v>14802</v>
      </c>
      <c r="H1605" s="12">
        <v>1</v>
      </c>
      <c r="I1605" s="13" t="str">
        <f>HYPERLINK("http://www.ncbi.nlm.nih.gov/gene/8649", "8649")</f>
        <v>8649</v>
      </c>
      <c r="J1605" s="12" t="s">
        <v>14803</v>
      </c>
      <c r="K1605" s="12" t="s">
        <v>14804</v>
      </c>
      <c r="L1605" s="13" t="str">
        <f>HYPERLINK("http://asia.ensembl.org/Homo_sapiens/Gene/Summary?g=ENSG00000109270", "ENSG00000109270")</f>
        <v>ENSG00000109270</v>
      </c>
      <c r="M1605" s="12" t="s">
        <v>14805</v>
      </c>
      <c r="N1605" s="12" t="s">
        <v>14806</v>
      </c>
    </row>
    <row r="1606" spans="1:14">
      <c r="A1606" s="12" t="s">
        <v>8488</v>
      </c>
      <c r="B1606" s="8">
        <v>282.500065939254</v>
      </c>
      <c r="C1606" s="12">
        <v>137.97814309722301</v>
      </c>
      <c r="D1606" s="8">
        <v>1.03381145424424</v>
      </c>
      <c r="E1606" s="12">
        <v>6.6550915950446096E-5</v>
      </c>
      <c r="F1606" s="8" t="s">
        <v>8489</v>
      </c>
      <c r="G1606" s="12" t="s">
        <v>8490</v>
      </c>
      <c r="H1606" s="12">
        <v>1</v>
      </c>
      <c r="I1606" s="13" t="str">
        <f>HYPERLINK("http://www.ncbi.nlm.nih.gov/gene/57545", "57545")</f>
        <v>57545</v>
      </c>
      <c r="J1606" s="13" t="str">
        <f>HYPERLINK("http://www.ncbi.nlm.nih.gov/nuccore/NM_001080522", "NM_001080522")</f>
        <v>NM_001080522</v>
      </c>
      <c r="K1606" s="12" t="s">
        <v>8491</v>
      </c>
      <c r="L1606" s="13" t="str">
        <f>HYPERLINK("http://asia.ensembl.org/Homo_sapiens/Gene/Summary?g=ENSG00000048342", "ENSG00000048342")</f>
        <v>ENSG00000048342</v>
      </c>
      <c r="M1606" s="12" t="s">
        <v>14761</v>
      </c>
      <c r="N1606" s="12" t="s">
        <v>14762</v>
      </c>
    </row>
    <row r="1607" spans="1:14">
      <c r="A1607" s="12" t="s">
        <v>10692</v>
      </c>
      <c r="B1607" s="8">
        <v>17355.581973456701</v>
      </c>
      <c r="C1607" s="12">
        <v>8480.4622188224093</v>
      </c>
      <c r="D1607" s="8">
        <v>1.0331849382881599</v>
      </c>
      <c r="E1607" s="12">
        <v>2.64775252228661E-3</v>
      </c>
      <c r="F1607" s="8" t="s">
        <v>4259</v>
      </c>
      <c r="G1607" s="12" t="s">
        <v>4260</v>
      </c>
      <c r="H1607" s="12">
        <v>1</v>
      </c>
      <c r="I1607" s="13" t="str">
        <f>HYPERLINK("http://www.ncbi.nlm.nih.gov/gene/3920", "3920")</f>
        <v>3920</v>
      </c>
      <c r="J1607" s="13" t="str">
        <f>HYPERLINK("http://www.ncbi.nlm.nih.gov/nuccore/NM_013995", "NM_013995")</f>
        <v>NM_013995</v>
      </c>
      <c r="K1607" s="12" t="s">
        <v>6648</v>
      </c>
      <c r="L1607" s="13" t="str">
        <f>HYPERLINK("http://asia.ensembl.org/Homo_sapiens/Gene/Summary?g=ENSG00000005893", "ENSG00000005893")</f>
        <v>ENSG00000005893</v>
      </c>
      <c r="M1607" s="12" t="s">
        <v>15723</v>
      </c>
      <c r="N1607" s="12" t="s">
        <v>15724</v>
      </c>
    </row>
    <row r="1608" spans="1:14">
      <c r="A1608" s="12" t="s">
        <v>10173</v>
      </c>
      <c r="B1608" s="8">
        <v>3685.7401357265198</v>
      </c>
      <c r="C1608" s="12">
        <v>1801.5411931198801</v>
      </c>
      <c r="D1608" s="8">
        <v>1.03272271681525</v>
      </c>
      <c r="E1608" s="12">
        <v>7.9696400661933998E-3</v>
      </c>
      <c r="F1608" s="8" t="s">
        <v>10174</v>
      </c>
      <c r="G1608" s="12" t="s">
        <v>10175</v>
      </c>
      <c r="H1608" s="12">
        <v>1</v>
      </c>
      <c r="I1608" s="13" t="str">
        <f>HYPERLINK("http://www.ncbi.nlm.nih.gov/gene/153339", "153339")</f>
        <v>153339</v>
      </c>
      <c r="J1608" s="13" t="str">
        <f>HYPERLINK("http://www.ncbi.nlm.nih.gov/nuccore/NM_174909", "NM_174909")</f>
        <v>NM_174909</v>
      </c>
      <c r="K1608" s="12" t="s">
        <v>10176</v>
      </c>
      <c r="L1608" s="13" t="str">
        <f>HYPERLINK("http://asia.ensembl.org/Homo_sapiens/Gene/Summary?g=ENSG00000174695", "ENSG00000174695")</f>
        <v>ENSG00000174695</v>
      </c>
      <c r="M1608" s="12" t="s">
        <v>15306</v>
      </c>
      <c r="N1608" s="12" t="s">
        <v>10177</v>
      </c>
    </row>
    <row r="1609" spans="1:14">
      <c r="A1609" s="12" t="s">
        <v>5073</v>
      </c>
      <c r="B1609" s="8">
        <v>2489.20783213809</v>
      </c>
      <c r="C1609" s="12">
        <v>1216.75595782849</v>
      </c>
      <c r="D1609" s="8">
        <v>1.0326468519258101</v>
      </c>
      <c r="E1609" s="12">
        <v>3.4381500033778302E-3</v>
      </c>
      <c r="F1609" s="8" t="s">
        <v>5074</v>
      </c>
      <c r="G1609" s="12" t="s">
        <v>5075</v>
      </c>
      <c r="H1609" s="12">
        <v>1</v>
      </c>
      <c r="I1609" s="13" t="str">
        <f>HYPERLINK("http://www.ncbi.nlm.nih.gov/gene/90411", "90411")</f>
        <v>90411</v>
      </c>
      <c r="J1609" s="12" t="s">
        <v>13568</v>
      </c>
      <c r="K1609" s="12" t="s">
        <v>13569</v>
      </c>
      <c r="L1609" s="13" t="str">
        <f>HYPERLINK("http://asia.ensembl.org/Homo_sapiens/Gene/Summary?g=ENSG00000180398", "ENSG00000180398")</f>
        <v>ENSG00000180398</v>
      </c>
      <c r="M1609" s="12" t="s">
        <v>13570</v>
      </c>
      <c r="N1609" s="12" t="s">
        <v>13571</v>
      </c>
    </row>
    <row r="1610" spans="1:14">
      <c r="A1610" s="12" t="s">
        <v>1616</v>
      </c>
      <c r="B1610" s="8">
        <v>188.494097338019</v>
      </c>
      <c r="C1610" s="12">
        <v>92.143887813162195</v>
      </c>
      <c r="D1610" s="8">
        <v>1.0325589706876299</v>
      </c>
      <c r="E1610" s="12">
        <v>6.24641384301653E-4</v>
      </c>
      <c r="F1610" s="8" t="s">
        <v>1617</v>
      </c>
      <c r="G1610" s="12" t="s">
        <v>1618</v>
      </c>
      <c r="H1610" s="12">
        <v>1</v>
      </c>
      <c r="I1610" s="13" t="str">
        <f>HYPERLINK("http://www.ncbi.nlm.nih.gov/gene/7504", "7504")</f>
        <v>7504</v>
      </c>
      <c r="J1610" s="13" t="str">
        <f>HYPERLINK("http://www.ncbi.nlm.nih.gov/nuccore/NM_021083", "NM_021083")</f>
        <v>NM_021083</v>
      </c>
      <c r="K1610" s="12" t="s">
        <v>1619</v>
      </c>
      <c r="L1610" s="13" t="str">
        <f>HYPERLINK("http://asia.ensembl.org/Homo_sapiens/Gene/Summary?g=ENSG00000047597", "ENSG00000047597")</f>
        <v>ENSG00000047597</v>
      </c>
      <c r="M1610" s="12" t="s">
        <v>1620</v>
      </c>
      <c r="N1610" s="12" t="s">
        <v>1621</v>
      </c>
    </row>
    <row r="1611" spans="1:14">
      <c r="A1611" s="12" t="s">
        <v>10323</v>
      </c>
      <c r="B1611" s="8">
        <v>1423.1454525670799</v>
      </c>
      <c r="C1611" s="12">
        <v>695.72550469596797</v>
      </c>
      <c r="D1611" s="8">
        <v>1.03249300529156</v>
      </c>
      <c r="E1611" s="12">
        <v>9.6749771336946495E-4</v>
      </c>
      <c r="F1611" s="8" t="s">
        <v>4746</v>
      </c>
      <c r="G1611" s="12" t="s">
        <v>4747</v>
      </c>
      <c r="H1611" s="12">
        <v>1</v>
      </c>
      <c r="I1611" s="13" t="str">
        <f>HYPERLINK("http://www.ncbi.nlm.nih.gov/gene/54940", "54940")</f>
        <v>54940</v>
      </c>
      <c r="J1611" s="12" t="s">
        <v>15393</v>
      </c>
      <c r="K1611" s="12" t="s">
        <v>15394</v>
      </c>
      <c r="L1611" s="13" t="str">
        <f>HYPERLINK("http://asia.ensembl.org/Homo_sapiens/Gene/Summary?g=ENSG00000109180", "ENSG00000109180")</f>
        <v>ENSG00000109180</v>
      </c>
      <c r="M1611" s="12" t="s">
        <v>15395</v>
      </c>
      <c r="N1611" s="12" t="s">
        <v>15396</v>
      </c>
    </row>
    <row r="1612" spans="1:14">
      <c r="A1612" s="12" t="s">
        <v>6869</v>
      </c>
      <c r="B1612" s="8">
        <v>11250.9475007521</v>
      </c>
      <c r="C1612" s="12">
        <v>5500.3176763463998</v>
      </c>
      <c r="D1612" s="8">
        <v>1.0324596529538701</v>
      </c>
      <c r="E1612" s="12">
        <v>1.5192021053972301E-2</v>
      </c>
      <c r="F1612" s="8" t="s">
        <v>6870</v>
      </c>
      <c r="G1612" s="12" t="s">
        <v>14284</v>
      </c>
      <c r="H1612" s="12">
        <v>1</v>
      </c>
      <c r="I1612" s="13" t="str">
        <f>HYPERLINK("http://www.ncbi.nlm.nih.gov/gene/253832", "253832")</f>
        <v>253832</v>
      </c>
      <c r="J1612" s="13" t="str">
        <f>HYPERLINK("http://www.ncbi.nlm.nih.gov/nuccore/NM_153251", "NM_153251")</f>
        <v>NM_153251</v>
      </c>
      <c r="K1612" s="12" t="s">
        <v>6871</v>
      </c>
      <c r="L1612" s="13" t="str">
        <f>HYPERLINK("http://asia.ensembl.org/Homo_sapiens/Gene/Summary?g=ENSG00000180776", "ENSG00000180776")</f>
        <v>ENSG00000180776</v>
      </c>
      <c r="M1612" s="12" t="s">
        <v>14285</v>
      </c>
      <c r="N1612" s="12" t="s">
        <v>14286</v>
      </c>
    </row>
    <row r="1613" spans="1:14">
      <c r="A1613" s="12" t="s">
        <v>10626</v>
      </c>
      <c r="B1613" s="8">
        <v>148.40731417666899</v>
      </c>
      <c r="C1613" s="12">
        <v>72.575686573160993</v>
      </c>
      <c r="D1613" s="8">
        <v>1.0320039761129201</v>
      </c>
      <c r="E1613" s="12">
        <v>4.46585632768416E-3</v>
      </c>
      <c r="F1613" s="8" t="s">
        <v>5287</v>
      </c>
      <c r="G1613" s="12" t="s">
        <v>5288</v>
      </c>
      <c r="H1613" s="12">
        <v>1</v>
      </c>
      <c r="I1613" s="13" t="str">
        <f>HYPERLINK("http://www.ncbi.nlm.nih.gov/gene/9874", "9874")</f>
        <v>9874</v>
      </c>
      <c r="J1613" s="12" t="s">
        <v>13658</v>
      </c>
      <c r="K1613" s="12" t="s">
        <v>13659</v>
      </c>
      <c r="L1613" s="13" t="str">
        <f>HYPERLINK("http://asia.ensembl.org/Homo_sapiens/Gene/Summary?g=ENSG00000198586", "ENSG00000198586")</f>
        <v>ENSG00000198586</v>
      </c>
      <c r="M1613" s="12" t="s">
        <v>13660</v>
      </c>
      <c r="N1613" s="12" t="s">
        <v>13661</v>
      </c>
    </row>
    <row r="1614" spans="1:14">
      <c r="A1614" s="12" t="s">
        <v>10389</v>
      </c>
      <c r="B1614" s="8">
        <v>511.26776155386</v>
      </c>
      <c r="C1614" s="12">
        <v>250.06506948622601</v>
      </c>
      <c r="D1614" s="8">
        <v>1.03177551073745</v>
      </c>
      <c r="E1614" s="12">
        <v>5.1095021400082404E-3</v>
      </c>
      <c r="F1614" s="8" t="s">
        <v>10390</v>
      </c>
      <c r="G1614" s="12" t="s">
        <v>10391</v>
      </c>
      <c r="H1614" s="12">
        <v>1</v>
      </c>
      <c r="I1614" s="13" t="str">
        <f>HYPERLINK("http://www.ncbi.nlm.nih.gov/gene/643314", "643314")</f>
        <v>643314</v>
      </c>
      <c r="J1614" s="13" t="str">
        <f>HYPERLINK("http://www.ncbi.nlm.nih.gov/nuccore/NM_015038", "NM_015038")</f>
        <v>NM_015038</v>
      </c>
      <c r="K1614" s="12" t="s">
        <v>10392</v>
      </c>
      <c r="L1614" s="13" t="str">
        <f>HYPERLINK("http://asia.ensembl.org/Homo_sapiens/Gene/Summary?g=ENSG00000127603", "ENSG00000127603")</f>
        <v>ENSG00000127603</v>
      </c>
      <c r="M1614" s="12" t="s">
        <v>7858</v>
      </c>
    </row>
    <row r="1615" spans="1:14">
      <c r="A1615" s="12" t="s">
        <v>10970</v>
      </c>
      <c r="B1615" s="8">
        <v>464.03298424863198</v>
      </c>
      <c r="C1615" s="12">
        <v>226.99105375112401</v>
      </c>
      <c r="D1615" s="8">
        <v>1.0315919195516901</v>
      </c>
      <c r="E1615" s="12">
        <v>1.2222126293898E-2</v>
      </c>
      <c r="F1615" s="8" t="s">
        <v>10971</v>
      </c>
      <c r="G1615" s="12" t="s">
        <v>10972</v>
      </c>
      <c r="H1615" s="12">
        <v>4</v>
      </c>
      <c r="I1615" s="12" t="s">
        <v>10973</v>
      </c>
      <c r="J1615" s="12" t="s">
        <v>10974</v>
      </c>
      <c r="K1615" s="12" t="s">
        <v>10975</v>
      </c>
      <c r="L1615" s="12" t="s">
        <v>10976</v>
      </c>
      <c r="M1615" s="12" t="s">
        <v>10977</v>
      </c>
      <c r="N1615" s="12" t="s">
        <v>10978</v>
      </c>
    </row>
    <row r="1616" spans="1:14">
      <c r="A1616" s="12" t="s">
        <v>5952</v>
      </c>
      <c r="B1616" s="8">
        <v>771.34605060452998</v>
      </c>
      <c r="C1616" s="12">
        <v>377.37300887026902</v>
      </c>
      <c r="D1616" s="8">
        <v>1.0313870050066001</v>
      </c>
      <c r="E1616" s="12">
        <v>4.8618539598160896E-3</v>
      </c>
      <c r="F1616" s="8" t="s">
        <v>5953</v>
      </c>
      <c r="G1616" s="12" t="s">
        <v>5954</v>
      </c>
      <c r="H1616" s="12">
        <v>1</v>
      </c>
      <c r="I1616" s="13" t="str">
        <f>HYPERLINK("http://www.ncbi.nlm.nih.gov/gene/6938", "6938")</f>
        <v>6938</v>
      </c>
      <c r="J1616" s="12" t="s">
        <v>13975</v>
      </c>
      <c r="K1616" s="12" t="s">
        <v>13976</v>
      </c>
      <c r="L1616" s="13" t="str">
        <f>HYPERLINK("http://asia.ensembl.org/Homo_sapiens/Gene/Summary?g=ENSG00000140262", "ENSG00000140262")</f>
        <v>ENSG00000140262</v>
      </c>
      <c r="M1616" s="12" t="s">
        <v>13977</v>
      </c>
      <c r="N1616" s="12" t="s">
        <v>13978</v>
      </c>
    </row>
    <row r="1617" spans="1:14">
      <c r="A1617" s="12" t="s">
        <v>10790</v>
      </c>
      <c r="B1617" s="8">
        <v>1794.20961661965</v>
      </c>
      <c r="C1617" s="12">
        <v>877.90127287258599</v>
      </c>
      <c r="D1617" s="8">
        <v>1.03121783822769</v>
      </c>
      <c r="E1617" s="12">
        <v>1.2765720105277199E-4</v>
      </c>
      <c r="F1617" s="8" t="s">
        <v>4782</v>
      </c>
      <c r="G1617" s="12" t="s">
        <v>13383</v>
      </c>
      <c r="H1617" s="12">
        <v>1</v>
      </c>
      <c r="I1617" s="13" t="str">
        <f>HYPERLINK("http://www.ncbi.nlm.nih.gov/gene/6197", "6197")</f>
        <v>6197</v>
      </c>
      <c r="J1617" s="13" t="str">
        <f>HYPERLINK("http://www.ncbi.nlm.nih.gov/nuccore/NM_004586", "NM_004586")</f>
        <v>NM_004586</v>
      </c>
      <c r="K1617" s="12" t="s">
        <v>4783</v>
      </c>
      <c r="L1617" s="13" t="str">
        <f>HYPERLINK("http://asia.ensembl.org/Homo_sapiens/Gene/Summary?g=ENSG00000177189", "ENSG00000177189")</f>
        <v>ENSG00000177189</v>
      </c>
      <c r="M1617" s="12" t="s">
        <v>13384</v>
      </c>
      <c r="N1617" s="12" t="s">
        <v>13385</v>
      </c>
    </row>
    <row r="1618" spans="1:14">
      <c r="A1618" s="12" t="s">
        <v>5091</v>
      </c>
      <c r="B1618" s="8">
        <v>1785.44762943457</v>
      </c>
      <c r="C1618" s="12">
        <v>873.85322577412103</v>
      </c>
      <c r="D1618" s="8">
        <v>1.0308229304699801</v>
      </c>
      <c r="E1618" s="12">
        <v>8.4682986599080197E-3</v>
      </c>
      <c r="F1618" s="8" t="s">
        <v>5092</v>
      </c>
      <c r="G1618" s="12" t="s">
        <v>5093</v>
      </c>
      <c r="H1618" s="12">
        <v>1</v>
      </c>
      <c r="I1618" s="13" t="str">
        <f>HYPERLINK("http://www.ncbi.nlm.nih.gov/gene/10915", "10915")</f>
        <v>10915</v>
      </c>
      <c r="J1618" s="12" t="s">
        <v>13581</v>
      </c>
      <c r="K1618" s="12" t="s">
        <v>13582</v>
      </c>
      <c r="L1618" s="13" t="str">
        <f>HYPERLINK("http://asia.ensembl.org/Homo_sapiens/Gene/Summary?g=ENSG00000113649", "ENSG00000113649")</f>
        <v>ENSG00000113649</v>
      </c>
      <c r="M1618" s="12" t="s">
        <v>13583</v>
      </c>
      <c r="N1618" s="12" t="s">
        <v>13584</v>
      </c>
    </row>
    <row r="1619" spans="1:14">
      <c r="A1619" s="12" t="s">
        <v>4799</v>
      </c>
      <c r="B1619" s="8">
        <v>361.00062216430501</v>
      </c>
      <c r="C1619" s="12">
        <v>176.74576074843901</v>
      </c>
      <c r="D1619" s="8">
        <v>1.03032571114606</v>
      </c>
      <c r="E1619" s="12">
        <v>1.08875194367627E-4</v>
      </c>
      <c r="F1619" s="8" t="s">
        <v>4800</v>
      </c>
      <c r="G1619" s="12" t="s">
        <v>4801</v>
      </c>
      <c r="H1619" s="12">
        <v>1</v>
      </c>
      <c r="I1619" s="13" t="str">
        <f>HYPERLINK("http://www.ncbi.nlm.nih.gov/gene/55216", "55216")</f>
        <v>55216</v>
      </c>
      <c r="J1619" s="12" t="s">
        <v>13396</v>
      </c>
      <c r="K1619" s="12" t="s">
        <v>13397</v>
      </c>
      <c r="L1619" s="13" t="str">
        <f>HYPERLINK("http://asia.ensembl.org/Homo_sapiens/Gene/Summary?g=ENSG00000150776", "ENSG00000150776")</f>
        <v>ENSG00000150776</v>
      </c>
      <c r="M1619" s="12" t="s">
        <v>13398</v>
      </c>
      <c r="N1619" s="12" t="s">
        <v>13399</v>
      </c>
    </row>
    <row r="1620" spans="1:14">
      <c r="A1620" s="12" t="s">
        <v>1004</v>
      </c>
      <c r="B1620" s="8">
        <v>1684.2805222987399</v>
      </c>
      <c r="C1620" s="12">
        <v>825.151127592688</v>
      </c>
      <c r="D1620" s="8">
        <v>1.02940216357959</v>
      </c>
      <c r="E1620" s="12">
        <v>1.73750356517208E-3</v>
      </c>
      <c r="F1620" s="8" t="s">
        <v>1005</v>
      </c>
      <c r="G1620" s="12" t="s">
        <v>1006</v>
      </c>
      <c r="H1620" s="12">
        <v>1</v>
      </c>
      <c r="I1620" s="13" t="str">
        <f>HYPERLINK("http://www.ncbi.nlm.nih.gov/gene/221302", "221302")</f>
        <v>221302</v>
      </c>
      <c r="J1620" s="13" t="str">
        <f>HYPERLINK("http://www.ncbi.nlm.nih.gov/nuccore/NM_145062", "NM_145062")</f>
        <v>NM_145062</v>
      </c>
      <c r="K1620" s="12" t="s">
        <v>1007</v>
      </c>
      <c r="L1620" s="13" t="str">
        <f>HYPERLINK("http://asia.ensembl.org/Homo_sapiens/Gene/Summary?g=ENSG00000153975", "ENSG00000153975")</f>
        <v>ENSG00000153975</v>
      </c>
      <c r="M1620" s="12" t="s">
        <v>12193</v>
      </c>
      <c r="N1620" s="12" t="s">
        <v>12194</v>
      </c>
    </row>
    <row r="1621" spans="1:14">
      <c r="A1621" s="12" t="s">
        <v>5742</v>
      </c>
      <c r="B1621" s="8">
        <v>2789.2709187405198</v>
      </c>
      <c r="C1621" s="12">
        <v>1366.5736439898401</v>
      </c>
      <c r="D1621" s="8">
        <v>1.0293248604241301</v>
      </c>
      <c r="E1621" s="12">
        <v>4.3350441566968598E-4</v>
      </c>
      <c r="F1621" s="8" t="s">
        <v>5743</v>
      </c>
      <c r="G1621" s="12" t="s">
        <v>5744</v>
      </c>
      <c r="H1621" s="12">
        <v>1</v>
      </c>
      <c r="I1621" s="13" t="str">
        <f>HYPERLINK("http://www.ncbi.nlm.nih.gov/gene/84085", "84085")</f>
        <v>84085</v>
      </c>
      <c r="J1621" s="13" t="str">
        <f>HYPERLINK("http://www.ncbi.nlm.nih.gov/nuccore/NM_032145", "NM_032145")</f>
        <v>NM_032145</v>
      </c>
      <c r="K1621" s="12" t="s">
        <v>5745</v>
      </c>
      <c r="L1621" s="13" t="str">
        <f>HYPERLINK("http://asia.ensembl.org/Homo_sapiens/Gene/Summary?g=ENSG00000118496", "ENSG00000118496")</f>
        <v>ENSG00000118496</v>
      </c>
      <c r="M1621" s="12" t="s">
        <v>5746</v>
      </c>
      <c r="N1621" s="12" t="s">
        <v>5747</v>
      </c>
    </row>
    <row r="1622" spans="1:14">
      <c r="A1622" s="12" t="s">
        <v>828</v>
      </c>
      <c r="B1622" s="8">
        <v>1560.57157743074</v>
      </c>
      <c r="C1622" s="12">
        <v>764.77383766196704</v>
      </c>
      <c r="D1622" s="8">
        <v>1.0289694538982299</v>
      </c>
      <c r="E1622" s="12">
        <v>1.8481826220158901E-2</v>
      </c>
      <c r="F1622" s="8" t="s">
        <v>829</v>
      </c>
      <c r="G1622" s="12" t="s">
        <v>830</v>
      </c>
      <c r="H1622" s="12">
        <v>1</v>
      </c>
      <c r="I1622" s="13" t="str">
        <f>HYPERLINK("http://www.ncbi.nlm.nih.gov/gene/64431", "64431")</f>
        <v>64431</v>
      </c>
      <c r="J1622" s="12" t="s">
        <v>12129</v>
      </c>
      <c r="K1622" s="12" t="s">
        <v>12130</v>
      </c>
      <c r="L1622" s="13" t="str">
        <f>HYPERLINK("http://asia.ensembl.org/Homo_sapiens/Gene/Summary?g=ENSG00000075089", "ENSG00000075089")</f>
        <v>ENSG00000075089</v>
      </c>
      <c r="M1622" s="12" t="s">
        <v>12131</v>
      </c>
      <c r="N1622" s="12" t="s">
        <v>12132</v>
      </c>
    </row>
    <row r="1623" spans="1:14">
      <c r="A1623" s="12" t="s">
        <v>7557</v>
      </c>
      <c r="B1623" s="8">
        <v>212.885055988744</v>
      </c>
      <c r="C1623" s="12">
        <v>104.329210253179</v>
      </c>
      <c r="D1623" s="8">
        <v>1.0289315372776799</v>
      </c>
      <c r="E1623" s="12">
        <v>2.27129064157216E-3</v>
      </c>
      <c r="F1623" s="8" t="s">
        <v>7558</v>
      </c>
      <c r="G1623" s="12" t="s">
        <v>7559</v>
      </c>
      <c r="H1623" s="12">
        <v>1</v>
      </c>
      <c r="I1623" s="13" t="str">
        <f>HYPERLINK("http://www.ncbi.nlm.nih.gov/gene/51747", "51747")</f>
        <v>51747</v>
      </c>
      <c r="J1623" s="13" t="str">
        <f>HYPERLINK("http://www.ncbi.nlm.nih.gov/nuccore/NM_016424", "NM_016424")</f>
        <v>NM_016424</v>
      </c>
      <c r="K1623" s="12" t="s">
        <v>7560</v>
      </c>
      <c r="L1623" s="13" t="str">
        <f>HYPERLINK("http://asia.ensembl.org/Homo_sapiens/Gene/Summary?g=ENSG00000108848", "ENSG00000108848")</f>
        <v>ENSG00000108848</v>
      </c>
      <c r="M1623" s="12" t="s">
        <v>14469</v>
      </c>
      <c r="N1623" s="12" t="s">
        <v>14470</v>
      </c>
    </row>
    <row r="1624" spans="1:14">
      <c r="A1624" s="12" t="s">
        <v>10531</v>
      </c>
      <c r="B1624" s="8">
        <v>1811.63741337019</v>
      </c>
      <c r="C1624" s="12">
        <v>888.18007251510596</v>
      </c>
      <c r="D1624" s="8">
        <v>1.0283701308705799</v>
      </c>
      <c r="E1624" s="12">
        <v>4.9106300329971901E-3</v>
      </c>
      <c r="F1624" s="8" t="s">
        <v>10532</v>
      </c>
      <c r="G1624" s="12" t="s">
        <v>15533</v>
      </c>
      <c r="H1624" s="12">
        <v>1</v>
      </c>
      <c r="I1624" s="13" t="str">
        <f>HYPERLINK("http://www.ncbi.nlm.nih.gov/gene/2730", "2730")</f>
        <v>2730</v>
      </c>
      <c r="J1624" s="13" t="str">
        <f>HYPERLINK("http://www.ncbi.nlm.nih.gov/nuccore/NM_002061", "NM_002061")</f>
        <v>NM_002061</v>
      </c>
      <c r="K1624" s="12" t="s">
        <v>10533</v>
      </c>
      <c r="L1624" s="13" t="str">
        <f>HYPERLINK("http://asia.ensembl.org/Homo_sapiens/Gene/Summary?g=ENSG00000023909", "ENSG00000023909")</f>
        <v>ENSG00000023909</v>
      </c>
      <c r="M1624" s="12" t="s">
        <v>15534</v>
      </c>
      <c r="N1624" s="12" t="s">
        <v>15535</v>
      </c>
    </row>
    <row r="1625" spans="1:14">
      <c r="A1625" s="12" t="s">
        <v>6505</v>
      </c>
      <c r="B1625" s="8">
        <v>1277.1109319229399</v>
      </c>
      <c r="C1625" s="12">
        <v>626.13019046007605</v>
      </c>
      <c r="D1625" s="8">
        <v>1.02834927408972</v>
      </c>
      <c r="E1625" s="12">
        <v>2.4079529328175399E-3</v>
      </c>
      <c r="F1625" s="8" t="s">
        <v>38</v>
      </c>
      <c r="G1625" s="12" t="s">
        <v>38</v>
      </c>
      <c r="H1625" s="12">
        <v>1</v>
      </c>
      <c r="I1625" s="12" t="s">
        <v>38</v>
      </c>
      <c r="J1625" s="12" t="s">
        <v>38</v>
      </c>
      <c r="K1625" s="12" t="s">
        <v>38</v>
      </c>
      <c r="L1625" s="12" t="s">
        <v>6506</v>
      </c>
      <c r="M1625" s="12" t="s">
        <v>6506</v>
      </c>
      <c r="N1625" s="12" t="s">
        <v>14210</v>
      </c>
    </row>
    <row r="1626" spans="1:14">
      <c r="A1626" s="12" t="s">
        <v>9834</v>
      </c>
      <c r="B1626" s="8">
        <v>2118.3951773386498</v>
      </c>
      <c r="C1626" s="12">
        <v>1038.67425490758</v>
      </c>
      <c r="D1626" s="8">
        <v>1.0282284702626101</v>
      </c>
      <c r="E1626" s="12">
        <v>2.7452616450384698E-3</v>
      </c>
      <c r="F1626" s="8" t="s">
        <v>8972</v>
      </c>
      <c r="G1626" s="12" t="s">
        <v>8973</v>
      </c>
      <c r="H1626" s="12">
        <v>1</v>
      </c>
      <c r="I1626" s="13" t="str">
        <f>HYPERLINK("http://www.ncbi.nlm.nih.gov/gene/55769", "55769")</f>
        <v>55769</v>
      </c>
      <c r="J1626" s="12" t="s">
        <v>15190</v>
      </c>
      <c r="K1626" s="12" t="s">
        <v>15191</v>
      </c>
      <c r="L1626" s="13" t="str">
        <f>HYPERLINK("http://asia.ensembl.org/Homo_sapiens/Gene/Summary?g=ENSG00000167766", "ENSG00000167766")</f>
        <v>ENSG00000167766</v>
      </c>
      <c r="M1626" s="12" t="s">
        <v>15192</v>
      </c>
      <c r="N1626" s="12" t="s">
        <v>15193</v>
      </c>
    </row>
    <row r="1627" spans="1:14">
      <c r="A1627" s="12" t="s">
        <v>10525</v>
      </c>
      <c r="B1627" s="8">
        <v>7409.4861818782101</v>
      </c>
      <c r="C1627" s="12">
        <v>3633.7014104360001</v>
      </c>
      <c r="D1627" s="8">
        <v>1.02793362600229</v>
      </c>
      <c r="E1627" s="12">
        <v>3.5836441877798802E-3</v>
      </c>
      <c r="F1627" s="8" t="s">
        <v>5911</v>
      </c>
      <c r="G1627" s="12" t="s">
        <v>15527</v>
      </c>
      <c r="H1627" s="12">
        <v>1</v>
      </c>
      <c r="I1627" s="13" t="str">
        <f>HYPERLINK("http://www.ncbi.nlm.nih.gov/gene/3998", "3998")</f>
        <v>3998</v>
      </c>
      <c r="J1627" s="13" t="str">
        <f>HYPERLINK("http://www.ncbi.nlm.nih.gov/nuccore/NM_005570", "NM_005570")</f>
        <v>NM_005570</v>
      </c>
      <c r="K1627" s="12" t="s">
        <v>5912</v>
      </c>
      <c r="L1627" s="13" t="str">
        <f>HYPERLINK("http://asia.ensembl.org/Homo_sapiens/Gene/Summary?g=ENSG00000074695", "ENSG00000074695")</f>
        <v>ENSG00000074695</v>
      </c>
      <c r="M1627" s="12" t="s">
        <v>15528</v>
      </c>
      <c r="N1627" s="12" t="s">
        <v>5913</v>
      </c>
    </row>
    <row r="1628" spans="1:14">
      <c r="A1628" s="12" t="s">
        <v>5855</v>
      </c>
      <c r="B1628" s="8">
        <v>6751.4586285434098</v>
      </c>
      <c r="C1628" s="12">
        <v>3311.9042218380901</v>
      </c>
      <c r="D1628" s="8">
        <v>1.0275382733348899</v>
      </c>
      <c r="E1628" s="12">
        <v>9.2538432898064005E-3</v>
      </c>
      <c r="F1628" s="8" t="s">
        <v>5856</v>
      </c>
      <c r="G1628" s="12" t="s">
        <v>5857</v>
      </c>
      <c r="H1628" s="12">
        <v>1</v>
      </c>
      <c r="I1628" s="13" t="str">
        <f>HYPERLINK("http://www.ncbi.nlm.nih.gov/gene/23389", "23389")</f>
        <v>23389</v>
      </c>
      <c r="J1628" s="13" t="str">
        <f>HYPERLINK("http://www.ncbi.nlm.nih.gov/nuccore/NM_015335", "NM_015335")</f>
        <v>NM_015335</v>
      </c>
      <c r="K1628" s="12" t="s">
        <v>5858</v>
      </c>
      <c r="L1628" s="13" t="str">
        <f>HYPERLINK("http://asia.ensembl.org/Homo_sapiens/Gene/Summary?g=ENSG00000123066", "ENSG00000123066")</f>
        <v>ENSG00000123066</v>
      </c>
      <c r="M1628" s="12" t="s">
        <v>13939</v>
      </c>
      <c r="N1628" s="12" t="s">
        <v>13940</v>
      </c>
    </row>
    <row r="1629" spans="1:14">
      <c r="A1629" s="12" t="s">
        <v>31</v>
      </c>
      <c r="B1629" s="8">
        <v>1351.59105097939</v>
      </c>
      <c r="C1629" s="12">
        <v>663.04852304492101</v>
      </c>
      <c r="D1629" s="8">
        <v>1.02747234516871</v>
      </c>
      <c r="E1629" s="12">
        <v>1.58709106041626E-3</v>
      </c>
      <c r="F1629" s="8" t="s">
        <v>32</v>
      </c>
      <c r="G1629" s="12" t="s">
        <v>11838</v>
      </c>
      <c r="H1629" s="12">
        <v>1</v>
      </c>
      <c r="I1629" s="13" t="str">
        <f>HYPERLINK("http://www.ncbi.nlm.nih.gov/gene/5782", "5782")</f>
        <v>5782</v>
      </c>
      <c r="J1629" s="12" t="s">
        <v>11839</v>
      </c>
      <c r="K1629" s="12" t="s">
        <v>11840</v>
      </c>
      <c r="L1629" s="13" t="str">
        <f>HYPERLINK("http://asia.ensembl.org/Homo_sapiens/Gene/Summary?g=ENSG00000127947", "ENSG00000127947")</f>
        <v>ENSG00000127947</v>
      </c>
      <c r="M1629" s="12" t="s">
        <v>11841</v>
      </c>
      <c r="N1629" s="12" t="s">
        <v>11842</v>
      </c>
    </row>
    <row r="1630" spans="1:14">
      <c r="A1630" s="12" t="s">
        <v>11200</v>
      </c>
      <c r="B1630" s="8">
        <v>1294.44726074496</v>
      </c>
      <c r="C1630" s="12">
        <v>635.03370683563503</v>
      </c>
      <c r="D1630" s="8">
        <v>1.0274311115972801</v>
      </c>
      <c r="E1630" s="12">
        <v>4.9115734083562002E-3</v>
      </c>
      <c r="F1630" s="8" t="s">
        <v>4985</v>
      </c>
      <c r="G1630" s="12" t="s">
        <v>4986</v>
      </c>
      <c r="H1630" s="12">
        <v>1</v>
      </c>
      <c r="I1630" s="13" t="str">
        <f>HYPERLINK("http://www.ncbi.nlm.nih.gov/gene/79577", "79577")</f>
        <v>79577</v>
      </c>
      <c r="J1630" s="13" t="str">
        <f>HYPERLINK("http://www.ncbi.nlm.nih.gov/nuccore/NM_024529", "NM_024529")</f>
        <v>NM_024529</v>
      </c>
      <c r="K1630" s="12" t="s">
        <v>4987</v>
      </c>
      <c r="L1630" s="13" t="str">
        <f>HYPERLINK("http://asia.ensembl.org/Homo_sapiens/Gene/Summary?g=ENSG00000134371", "ENSG00000134371")</f>
        <v>ENSG00000134371</v>
      </c>
      <c r="M1630" s="12" t="s">
        <v>16031</v>
      </c>
      <c r="N1630" s="12" t="s">
        <v>4988</v>
      </c>
    </row>
    <row r="1631" spans="1:14">
      <c r="A1631" s="12" t="s">
        <v>6619</v>
      </c>
      <c r="B1631" s="8">
        <v>5729.2305642193896</v>
      </c>
      <c r="C1631" s="12">
        <v>2810.9799644407399</v>
      </c>
      <c r="D1631" s="8">
        <v>1.0272682272261799</v>
      </c>
      <c r="E1631" s="12">
        <v>1.11606228402899E-2</v>
      </c>
      <c r="F1631" s="8" t="s">
        <v>6620</v>
      </c>
      <c r="G1631" s="12" t="s">
        <v>6621</v>
      </c>
      <c r="H1631" s="12">
        <v>1</v>
      </c>
      <c r="I1631" s="13" t="str">
        <f>HYPERLINK("http://www.ncbi.nlm.nih.gov/gene/5481", "5481")</f>
        <v>5481</v>
      </c>
      <c r="J1631" s="13" t="str">
        <f>HYPERLINK("http://www.ncbi.nlm.nih.gov/nuccore/NM_005038", "NM_005038")</f>
        <v>NM_005038</v>
      </c>
      <c r="K1631" s="12" t="s">
        <v>6622</v>
      </c>
      <c r="L1631" s="13" t="str">
        <f>HYPERLINK("http://asia.ensembl.org/Homo_sapiens/Gene/Summary?g=ENSG00000171497", "ENSG00000171497")</f>
        <v>ENSG00000171497</v>
      </c>
      <c r="M1631" s="12" t="s">
        <v>14222</v>
      </c>
      <c r="N1631" s="12" t="s">
        <v>14223</v>
      </c>
    </row>
    <row r="1632" spans="1:14">
      <c r="A1632" s="12" t="s">
        <v>5935</v>
      </c>
      <c r="B1632" s="8">
        <v>2680.8548689552799</v>
      </c>
      <c r="C1632" s="12">
        <v>1315.4819412059801</v>
      </c>
      <c r="D1632" s="8">
        <v>1.0271016760640499</v>
      </c>
      <c r="E1632" s="12">
        <v>6.6069096178347601E-4</v>
      </c>
      <c r="F1632" s="8" t="s">
        <v>5936</v>
      </c>
      <c r="G1632" s="12" t="s">
        <v>13968</v>
      </c>
      <c r="H1632" s="12">
        <v>1</v>
      </c>
      <c r="I1632" s="13" t="str">
        <f>HYPERLINK("http://www.ncbi.nlm.nih.gov/gene/57205", "57205")</f>
        <v>57205</v>
      </c>
      <c r="J1632" s="13" t="str">
        <f>HYPERLINK("http://www.ncbi.nlm.nih.gov/nuccore/NM_020453", "NM_020453")</f>
        <v>NM_020453</v>
      </c>
      <c r="K1632" s="12" t="s">
        <v>5937</v>
      </c>
      <c r="L1632" s="13" t="str">
        <f>HYPERLINK("http://asia.ensembl.org/Homo_sapiens/Gene/Summary?g=ENSG00000145246", "ENSG00000145246")</f>
        <v>ENSG00000145246</v>
      </c>
      <c r="M1632" s="12" t="s">
        <v>13969</v>
      </c>
      <c r="N1632" s="12" t="s">
        <v>13970</v>
      </c>
    </row>
    <row r="1633" spans="1:14">
      <c r="A1633" s="12" t="s">
        <v>9673</v>
      </c>
      <c r="B1633" s="8">
        <v>207.202801112446</v>
      </c>
      <c r="C1633" s="12">
        <v>101.688117257781</v>
      </c>
      <c r="D1633" s="8">
        <v>1.0268924032792699</v>
      </c>
      <c r="E1633" s="12">
        <v>1.5651504927074001E-2</v>
      </c>
      <c r="F1633" s="8" t="s">
        <v>9674</v>
      </c>
      <c r="G1633" s="12" t="s">
        <v>9675</v>
      </c>
      <c r="H1633" s="12">
        <v>1</v>
      </c>
      <c r="I1633" s="13" t="str">
        <f>HYPERLINK("http://www.ncbi.nlm.nih.gov/gene/9101", "9101")</f>
        <v>9101</v>
      </c>
      <c r="J1633" s="12" t="s">
        <v>15158</v>
      </c>
      <c r="K1633" s="12" t="s">
        <v>15159</v>
      </c>
      <c r="L1633" s="13" t="str">
        <f>HYPERLINK("http://asia.ensembl.org/Homo_sapiens/Gene/Summary?g=ENSG00000138592", "ENSG00000138592")</f>
        <v>ENSG00000138592</v>
      </c>
      <c r="M1633" s="12" t="s">
        <v>15160</v>
      </c>
      <c r="N1633" s="12" t="s">
        <v>15161</v>
      </c>
    </row>
    <row r="1634" spans="1:14">
      <c r="A1634" s="12" t="s">
        <v>10247</v>
      </c>
      <c r="B1634" s="8">
        <v>2847.75321703798</v>
      </c>
      <c r="C1634" s="12">
        <v>1397.65511542132</v>
      </c>
      <c r="D1634" s="8">
        <v>1.02681572343266</v>
      </c>
      <c r="E1634" s="12">
        <v>1.12633489915102E-2</v>
      </c>
      <c r="F1634" s="8" t="s">
        <v>10248</v>
      </c>
      <c r="G1634" s="12" t="s">
        <v>15336</v>
      </c>
      <c r="H1634" s="12">
        <v>1</v>
      </c>
      <c r="I1634" s="13" t="str">
        <f>HYPERLINK("http://www.ncbi.nlm.nih.gov/gene/2551", "2551")</f>
        <v>2551</v>
      </c>
      <c r="J1634" s="12" t="s">
        <v>15337</v>
      </c>
      <c r="K1634" s="12" t="s">
        <v>15338</v>
      </c>
      <c r="L1634" s="13" t="str">
        <f>HYPERLINK("http://asia.ensembl.org/Homo_sapiens/Gene/Summary?g=ENSG00000154727", "ENSG00000154727")</f>
        <v>ENSG00000154727</v>
      </c>
      <c r="M1634" s="12" t="s">
        <v>15339</v>
      </c>
      <c r="N1634" s="12" t="s">
        <v>15340</v>
      </c>
    </row>
    <row r="1635" spans="1:14">
      <c r="A1635" s="12" t="s">
        <v>4808</v>
      </c>
      <c r="B1635" s="8">
        <v>419.66523029820303</v>
      </c>
      <c r="C1635" s="12">
        <v>205.97109484285599</v>
      </c>
      <c r="D1635" s="8">
        <v>1.02679704980784</v>
      </c>
      <c r="E1635" s="12">
        <v>1.01512016614504E-3</v>
      </c>
      <c r="F1635" s="8" t="s">
        <v>4809</v>
      </c>
      <c r="G1635" s="12" t="s">
        <v>4810</v>
      </c>
      <c r="H1635" s="12">
        <v>1</v>
      </c>
      <c r="I1635" s="13" t="str">
        <f>HYPERLINK("http://www.ncbi.nlm.nih.gov/gene/135", "135")</f>
        <v>135</v>
      </c>
      <c r="J1635" s="13" t="str">
        <f>HYPERLINK("http://www.ncbi.nlm.nih.gov/nuccore/NM_000675", "NM_000675")</f>
        <v>NM_000675</v>
      </c>
      <c r="K1635" s="12" t="s">
        <v>4811</v>
      </c>
      <c r="L1635" s="13" t="str">
        <f>HYPERLINK("http://asia.ensembl.org/Homo_sapiens/Gene/Summary?g=ENSG00000128271", "ENSG00000128271")</f>
        <v>ENSG00000128271</v>
      </c>
      <c r="M1635" s="12" t="s">
        <v>13407</v>
      </c>
      <c r="N1635" s="12" t="s">
        <v>13408</v>
      </c>
    </row>
    <row r="1636" spans="1:14">
      <c r="A1636" s="12" t="s">
        <v>7388</v>
      </c>
      <c r="B1636" s="8">
        <v>1937.23328547197</v>
      </c>
      <c r="C1636" s="12">
        <v>950.96334086411696</v>
      </c>
      <c r="D1636" s="8">
        <v>1.02653606446243</v>
      </c>
      <c r="E1636" s="12">
        <v>1.38472396553799E-2</v>
      </c>
      <c r="F1636" s="8" t="s">
        <v>7389</v>
      </c>
      <c r="G1636" s="12" t="s">
        <v>7390</v>
      </c>
      <c r="H1636" s="12">
        <v>1</v>
      </c>
      <c r="I1636" s="13" t="str">
        <f>HYPERLINK("http://www.ncbi.nlm.nih.gov/gene/10015", "10015")</f>
        <v>10015</v>
      </c>
      <c r="J1636" s="12" t="s">
        <v>14416</v>
      </c>
      <c r="K1636" s="12" t="s">
        <v>14417</v>
      </c>
      <c r="L1636" s="13" t="str">
        <f>HYPERLINK("http://asia.ensembl.org/Homo_sapiens/Gene/Summary?g=ENSG00000170248", "ENSG00000170248")</f>
        <v>ENSG00000170248</v>
      </c>
      <c r="M1636" s="12" t="s">
        <v>14418</v>
      </c>
      <c r="N1636" s="12" t="s">
        <v>14419</v>
      </c>
    </row>
    <row r="1637" spans="1:14">
      <c r="A1637" s="12" t="s">
        <v>5088</v>
      </c>
      <c r="B1637" s="8">
        <v>2238.1685142538199</v>
      </c>
      <c r="C1637" s="12">
        <v>1098.77819762019</v>
      </c>
      <c r="D1637" s="8">
        <v>1.0264184732543999</v>
      </c>
      <c r="E1637" s="12">
        <v>6.4102168586416203E-3</v>
      </c>
      <c r="F1637" s="8" t="s">
        <v>5089</v>
      </c>
      <c r="G1637" s="12" t="s">
        <v>13578</v>
      </c>
      <c r="H1637" s="12">
        <v>1</v>
      </c>
      <c r="I1637" s="13" t="str">
        <f>HYPERLINK("http://www.ncbi.nlm.nih.gov/gene/29028", "29028")</f>
        <v>29028</v>
      </c>
      <c r="J1637" s="13" t="str">
        <f>HYPERLINK("http://www.ncbi.nlm.nih.gov/nuccore/NM_014109", "NM_014109")</f>
        <v>NM_014109</v>
      </c>
      <c r="K1637" s="12" t="s">
        <v>5090</v>
      </c>
      <c r="L1637" s="13" t="str">
        <f>HYPERLINK("http://asia.ensembl.org/Homo_sapiens/Gene/Summary?g=ENSG00000156802", "ENSG00000156802")</f>
        <v>ENSG00000156802</v>
      </c>
      <c r="M1637" s="12" t="s">
        <v>13579</v>
      </c>
      <c r="N1637" s="12" t="s">
        <v>13580</v>
      </c>
    </row>
    <row r="1638" spans="1:14">
      <c r="A1638" s="12" t="s">
        <v>4835</v>
      </c>
      <c r="B1638" s="8">
        <v>22407.635954335401</v>
      </c>
      <c r="C1638" s="12">
        <v>11002.3982010494</v>
      </c>
      <c r="D1638" s="8">
        <v>1.0261724266148</v>
      </c>
      <c r="E1638" s="12">
        <v>7.9002995740355703E-3</v>
      </c>
      <c r="F1638" s="8" t="s">
        <v>4836</v>
      </c>
      <c r="G1638" s="12" t="s">
        <v>1176</v>
      </c>
      <c r="H1638" s="12">
        <v>1</v>
      </c>
      <c r="I1638" s="13" t="str">
        <f>HYPERLINK("http://www.ncbi.nlm.nih.gov/gene/10914", "10914")</f>
        <v>10914</v>
      </c>
      <c r="J1638" s="13" t="str">
        <f>HYPERLINK("http://www.ncbi.nlm.nih.gov/nuccore/NM_032632", "NM_032632")</f>
        <v>NM_032632</v>
      </c>
      <c r="K1638" s="12" t="s">
        <v>4837</v>
      </c>
      <c r="L1638" s="13" t="str">
        <f>HYPERLINK("http://asia.ensembl.org/Homo_sapiens/Gene/Summary?g=ENSG00000090060", "ENSG00000090060")</f>
        <v>ENSG00000090060</v>
      </c>
      <c r="M1638" s="12" t="s">
        <v>13415</v>
      </c>
      <c r="N1638" s="12" t="s">
        <v>13416</v>
      </c>
    </row>
    <row r="1639" spans="1:14">
      <c r="A1639" s="12" t="s">
        <v>10648</v>
      </c>
      <c r="B1639" s="8">
        <v>409.55132886197902</v>
      </c>
      <c r="C1639" s="12">
        <v>201.09811722181101</v>
      </c>
      <c r="D1639" s="8">
        <v>1.02614470094615</v>
      </c>
      <c r="E1639" s="12">
        <v>9.2573061686693995E-3</v>
      </c>
      <c r="F1639" s="8" t="s">
        <v>5763</v>
      </c>
      <c r="G1639" s="12" t="s">
        <v>5764</v>
      </c>
      <c r="H1639" s="12">
        <v>1</v>
      </c>
      <c r="I1639" s="13" t="str">
        <f>HYPERLINK("http://www.ncbi.nlm.nih.gov/gene/26984", "26984")</f>
        <v>26984</v>
      </c>
      <c r="J1639" s="13" t="str">
        <f>HYPERLINK("http://www.ncbi.nlm.nih.gov/nuccore/NM_012430", "NM_012430")</f>
        <v>NM_012430</v>
      </c>
      <c r="K1639" s="12" t="s">
        <v>5765</v>
      </c>
      <c r="L1639" s="13" t="str">
        <f>HYPERLINK("http://asia.ensembl.org/Homo_sapiens/Gene/Summary?g=ENSG00000121542", "ENSG00000121542")</f>
        <v>ENSG00000121542</v>
      </c>
      <c r="M1639" s="12" t="s">
        <v>15670</v>
      </c>
      <c r="N1639" s="12" t="s">
        <v>15671</v>
      </c>
    </row>
    <row r="1640" spans="1:14">
      <c r="A1640" s="12" t="s">
        <v>4802</v>
      </c>
      <c r="B1640" s="8">
        <v>1614.9614679532699</v>
      </c>
      <c r="C1640" s="12">
        <v>793.01348708854198</v>
      </c>
      <c r="D1640" s="8">
        <v>1.0260824357347</v>
      </c>
      <c r="E1640" s="12">
        <v>9.4115646974948994E-3</v>
      </c>
      <c r="F1640" s="8" t="s">
        <v>4803</v>
      </c>
      <c r="G1640" s="12" t="s">
        <v>4804</v>
      </c>
      <c r="H1640" s="12">
        <v>1</v>
      </c>
      <c r="I1640" s="13" t="str">
        <f>HYPERLINK("http://www.ncbi.nlm.nih.gov/gene/57674", "57674")</f>
        <v>57674</v>
      </c>
      <c r="J1640" s="13" t="str">
        <f>HYPERLINK("http://www.ncbi.nlm.nih.gov/nuccore/NM_001256071", "NM_001256071")</f>
        <v>NM_001256071</v>
      </c>
      <c r="K1640" s="12" t="s">
        <v>4805</v>
      </c>
      <c r="L1640" s="13" t="str">
        <f>HYPERLINK("http://asia.ensembl.org/Homo_sapiens/Gene/Summary?g=ENSG00000173821", "ENSG00000173821")</f>
        <v>ENSG00000173821</v>
      </c>
      <c r="M1640" s="12" t="s">
        <v>13400</v>
      </c>
      <c r="N1640" s="12" t="s">
        <v>13401</v>
      </c>
    </row>
    <row r="1641" spans="1:14">
      <c r="A1641" s="12" t="s">
        <v>7313</v>
      </c>
      <c r="B1641" s="8">
        <v>16672.795561572901</v>
      </c>
      <c r="C1641" s="12">
        <v>8189.9489788773499</v>
      </c>
      <c r="D1641" s="8">
        <v>1.02556965480609</v>
      </c>
      <c r="E1641" s="12">
        <v>8.3268244017976195E-3</v>
      </c>
      <c r="F1641" s="8" t="s">
        <v>7314</v>
      </c>
      <c r="G1641" s="12" t="s">
        <v>14392</v>
      </c>
      <c r="H1641" s="12">
        <v>4</v>
      </c>
      <c r="I1641" s="12" t="s">
        <v>7315</v>
      </c>
      <c r="J1641" s="12" t="s">
        <v>14393</v>
      </c>
      <c r="K1641" s="12" t="s">
        <v>14394</v>
      </c>
      <c r="L1641" s="12" t="s">
        <v>7316</v>
      </c>
      <c r="M1641" s="12" t="s">
        <v>14395</v>
      </c>
      <c r="N1641" s="12" t="s">
        <v>14396</v>
      </c>
    </row>
    <row r="1642" spans="1:14">
      <c r="A1642" s="12" t="s">
        <v>10500</v>
      </c>
      <c r="B1642" s="8">
        <v>445.95028221768001</v>
      </c>
      <c r="C1642" s="12">
        <v>219.09992559697599</v>
      </c>
      <c r="D1642" s="8">
        <v>1.02529388255945</v>
      </c>
      <c r="E1642" s="12">
        <v>1.7554067049444599E-3</v>
      </c>
      <c r="F1642" s="8" t="s">
        <v>8969</v>
      </c>
      <c r="G1642" s="12" t="s">
        <v>15489</v>
      </c>
      <c r="H1642" s="12">
        <v>1</v>
      </c>
      <c r="I1642" s="13" t="str">
        <f>HYPERLINK("http://www.ncbi.nlm.nih.gov/gene/538", "538")</f>
        <v>538</v>
      </c>
      <c r="J1642" s="13" t="str">
        <f>HYPERLINK("http://www.ncbi.nlm.nih.gov/nuccore/NM_000052", "NM_000052")</f>
        <v>NM_000052</v>
      </c>
      <c r="K1642" s="12" t="s">
        <v>8970</v>
      </c>
      <c r="L1642" s="13" t="str">
        <f>HYPERLINK("http://asia.ensembl.org/Homo_sapiens/Gene/Summary?g=ENSG00000165240", "ENSG00000165240")</f>
        <v>ENSG00000165240</v>
      </c>
      <c r="M1642" s="12" t="s">
        <v>15490</v>
      </c>
      <c r="N1642" s="12" t="s">
        <v>15491</v>
      </c>
    </row>
    <row r="1643" spans="1:14">
      <c r="A1643" s="12" t="s">
        <v>987</v>
      </c>
      <c r="B1643" s="8">
        <v>3423.6526015027898</v>
      </c>
      <c r="C1643" s="12">
        <v>1682.74411318087</v>
      </c>
      <c r="D1643" s="8">
        <v>1.0247205090653899</v>
      </c>
      <c r="E1643" s="12">
        <v>9.7066421055513104E-3</v>
      </c>
      <c r="F1643" s="8" t="s">
        <v>988</v>
      </c>
      <c r="G1643" s="12" t="s">
        <v>989</v>
      </c>
      <c r="H1643" s="12">
        <v>1</v>
      </c>
      <c r="I1643" s="13" t="str">
        <f>HYPERLINK("http://www.ncbi.nlm.nih.gov/gene/203523", "203523")</f>
        <v>203523</v>
      </c>
      <c r="J1643" s="13" t="str">
        <f>HYPERLINK("http://www.ncbi.nlm.nih.gov/nuccore/NM_152695", "NM_152695")</f>
        <v>NM_152695</v>
      </c>
      <c r="K1643" s="12" t="s">
        <v>990</v>
      </c>
      <c r="L1643" s="13" t="str">
        <f>HYPERLINK("http://asia.ensembl.org/Homo_sapiens/Gene/Summary?g=ENSG00000173275", "ENSG00000173275")</f>
        <v>ENSG00000173275</v>
      </c>
      <c r="M1643" s="12" t="s">
        <v>12185</v>
      </c>
      <c r="N1643" s="12" t="s">
        <v>12186</v>
      </c>
    </row>
    <row r="1644" spans="1:14">
      <c r="A1644" s="12" t="s">
        <v>6273</v>
      </c>
      <c r="B1644" s="8">
        <v>364.73350194641</v>
      </c>
      <c r="C1644" s="12">
        <v>179.33349926356701</v>
      </c>
      <c r="D1644" s="8">
        <v>1.02419771501433</v>
      </c>
      <c r="E1644" s="12">
        <v>8.7079203179751003E-3</v>
      </c>
      <c r="F1644" s="8" t="s">
        <v>6274</v>
      </c>
      <c r="G1644" s="12" t="s">
        <v>6275</v>
      </c>
      <c r="H1644" s="12">
        <v>1</v>
      </c>
      <c r="I1644" s="13" t="str">
        <f>HYPERLINK("http://www.ncbi.nlm.nih.gov/gene/6683", "6683")</f>
        <v>6683</v>
      </c>
      <c r="J1644" s="12" t="s">
        <v>14114</v>
      </c>
      <c r="K1644" s="12" t="s">
        <v>14115</v>
      </c>
      <c r="L1644" s="13" t="str">
        <f>HYPERLINK("http://asia.ensembl.org/Homo_sapiens/Gene/Summary?g=ENSG00000021574", "ENSG00000021574")</f>
        <v>ENSG00000021574</v>
      </c>
      <c r="M1644" s="12" t="s">
        <v>14116</v>
      </c>
      <c r="N1644" s="12" t="s">
        <v>14117</v>
      </c>
    </row>
    <row r="1645" spans="1:14">
      <c r="A1645" s="12" t="s">
        <v>11276</v>
      </c>
      <c r="B1645" s="8">
        <v>1907.18701689774</v>
      </c>
      <c r="C1645" s="12">
        <v>938.49856300017495</v>
      </c>
      <c r="D1645" s="8">
        <v>1.02301987869446</v>
      </c>
      <c r="E1645" s="12">
        <v>7.3727689150574396E-3</v>
      </c>
      <c r="F1645" s="8" t="s">
        <v>2928</v>
      </c>
      <c r="G1645" s="12" t="s">
        <v>16088</v>
      </c>
      <c r="H1645" s="12">
        <v>1</v>
      </c>
      <c r="I1645" s="13" t="str">
        <f>HYPERLINK("http://www.ncbi.nlm.nih.gov/gene/221786", "221786")</f>
        <v>221786</v>
      </c>
      <c r="J1645" s="13" t="str">
        <f>HYPERLINK("http://www.ncbi.nlm.nih.gov/nuccore/NM_145111", "NM_145111")</f>
        <v>NM_145111</v>
      </c>
      <c r="K1645" s="12" t="s">
        <v>2929</v>
      </c>
      <c r="L1645" s="13" t="str">
        <f>HYPERLINK("http://asia.ensembl.org/Homo_sapiens/Gene/Summary?g=ENSG00000221909", "ENSG00000221909")</f>
        <v>ENSG00000221909</v>
      </c>
      <c r="M1645" s="12" t="s">
        <v>16089</v>
      </c>
      <c r="N1645" s="12" t="s">
        <v>16090</v>
      </c>
    </row>
    <row r="1646" spans="1:14">
      <c r="A1646" s="12" t="s">
        <v>5895</v>
      </c>
      <c r="B1646" s="8">
        <v>1017.15152760632</v>
      </c>
      <c r="C1646" s="12">
        <v>500.56985131388802</v>
      </c>
      <c r="D1646" s="8">
        <v>1.0228913100269701</v>
      </c>
      <c r="E1646" s="12">
        <v>1.65779758656294E-2</v>
      </c>
      <c r="F1646" s="8" t="s">
        <v>5896</v>
      </c>
      <c r="G1646" s="12" t="s">
        <v>5897</v>
      </c>
      <c r="H1646" s="12">
        <v>1</v>
      </c>
      <c r="I1646" s="13" t="str">
        <f>HYPERLINK("http://www.ncbi.nlm.nih.gov/gene/57231", "57231")</f>
        <v>57231</v>
      </c>
      <c r="J1646" s="12" t="s">
        <v>13956</v>
      </c>
      <c r="K1646" s="12" t="s">
        <v>13957</v>
      </c>
      <c r="L1646" s="13" t="str">
        <f>HYPERLINK("http://asia.ensembl.org/Homo_sapiens/Gene/Summary?g=ENSG00000135317", "ENSG00000135317")</f>
        <v>ENSG00000135317</v>
      </c>
      <c r="M1646" s="12" t="s">
        <v>13958</v>
      </c>
      <c r="N1646" s="12" t="s">
        <v>13959</v>
      </c>
    </row>
    <row r="1647" spans="1:14">
      <c r="A1647" s="12" t="s">
        <v>684</v>
      </c>
      <c r="B1647" s="8">
        <v>318.170850778106</v>
      </c>
      <c r="C1647" s="12">
        <v>156.61281563678401</v>
      </c>
      <c r="D1647" s="8">
        <v>1.02259939593211</v>
      </c>
      <c r="E1647" s="12">
        <v>2.0838710705597101E-2</v>
      </c>
      <c r="F1647" s="8" t="s">
        <v>685</v>
      </c>
      <c r="G1647" s="12" t="s">
        <v>686</v>
      </c>
      <c r="H1647" s="12">
        <v>1</v>
      </c>
      <c r="I1647" s="13" t="str">
        <f>HYPERLINK("http://www.ncbi.nlm.nih.gov/gene/63892", "63892")</f>
        <v>63892</v>
      </c>
      <c r="J1647" s="12" t="s">
        <v>12064</v>
      </c>
      <c r="K1647" s="12" t="s">
        <v>12065</v>
      </c>
      <c r="L1647" s="13" t="str">
        <f>HYPERLINK("http://asia.ensembl.org/Homo_sapiens/Gene/Summary?g=ENSG00000115970", "ENSG00000115970")</f>
        <v>ENSG00000115970</v>
      </c>
      <c r="M1647" s="12" t="s">
        <v>12066</v>
      </c>
      <c r="N1647" s="12" t="s">
        <v>12067</v>
      </c>
    </row>
    <row r="1648" spans="1:14">
      <c r="A1648" s="12" t="s">
        <v>10822</v>
      </c>
      <c r="B1648" s="8">
        <v>4024.8896296551802</v>
      </c>
      <c r="C1648" s="12">
        <v>1981.2850886512001</v>
      </c>
      <c r="D1648" s="8">
        <v>1.0225127365756099</v>
      </c>
      <c r="E1648" s="12">
        <v>2.5360766769090999E-2</v>
      </c>
      <c r="F1648" s="8" t="s">
        <v>3947</v>
      </c>
      <c r="G1648" s="12" t="s">
        <v>3948</v>
      </c>
      <c r="H1648" s="12">
        <v>1</v>
      </c>
      <c r="I1648" s="13" t="str">
        <f>HYPERLINK("http://www.ncbi.nlm.nih.gov/gene/253782", "253782")</f>
        <v>253782</v>
      </c>
      <c r="J1648" s="12" t="s">
        <v>13130</v>
      </c>
      <c r="K1648" s="12" t="s">
        <v>13131</v>
      </c>
      <c r="L1648" s="13" t="str">
        <f>HYPERLINK("http://asia.ensembl.org/Homo_sapiens/Gene/Summary?g=ENSG00000172292", "ENSG00000172292")</f>
        <v>ENSG00000172292</v>
      </c>
      <c r="M1648" s="12" t="s">
        <v>13132</v>
      </c>
      <c r="N1648" s="12" t="s">
        <v>13133</v>
      </c>
    </row>
    <row r="1649" spans="1:14">
      <c r="A1649" s="12" t="s">
        <v>5042</v>
      </c>
      <c r="B1649" s="8">
        <v>2315.9351827286901</v>
      </c>
      <c r="C1649" s="12">
        <v>1141.3141528143999</v>
      </c>
      <c r="D1649" s="8">
        <v>1.02089892063978</v>
      </c>
      <c r="E1649" s="12">
        <v>8.7960881561696697E-3</v>
      </c>
      <c r="F1649" s="8" t="s">
        <v>5043</v>
      </c>
      <c r="G1649" s="12" t="s">
        <v>13548</v>
      </c>
      <c r="H1649" s="12">
        <v>1</v>
      </c>
      <c r="I1649" s="13" t="str">
        <f>HYPERLINK("http://www.ncbi.nlm.nih.gov/gene/6867", "6867")</f>
        <v>6867</v>
      </c>
      <c r="J1649" s="12" t="s">
        <v>13549</v>
      </c>
      <c r="K1649" s="12" t="s">
        <v>13550</v>
      </c>
      <c r="L1649" s="13" t="str">
        <f>HYPERLINK("http://asia.ensembl.org/Homo_sapiens/Gene/Summary?g=ENSG00000147526", "ENSG00000147526")</f>
        <v>ENSG00000147526</v>
      </c>
      <c r="M1649" s="12" t="s">
        <v>13551</v>
      </c>
      <c r="N1649" s="12" t="s">
        <v>13552</v>
      </c>
    </row>
    <row r="1650" spans="1:14">
      <c r="A1650" s="12" t="s">
        <v>454</v>
      </c>
      <c r="B1650" s="8">
        <v>2766.2229604665999</v>
      </c>
      <c r="C1650" s="12">
        <v>1363.2684056942001</v>
      </c>
      <c r="D1650" s="8">
        <v>1.0208478102716201</v>
      </c>
      <c r="E1650" s="12">
        <v>2.4839701163632999E-3</v>
      </c>
      <c r="F1650" s="8" t="s">
        <v>455</v>
      </c>
      <c r="G1650" s="12" t="s">
        <v>456</v>
      </c>
      <c r="H1650" s="12">
        <v>1</v>
      </c>
      <c r="I1650" s="13" t="str">
        <f>HYPERLINK("http://www.ncbi.nlm.nih.gov/gene/11325", "11325")</f>
        <v>11325</v>
      </c>
      <c r="J1650" s="12" t="s">
        <v>11989</v>
      </c>
      <c r="K1650" s="12" t="s">
        <v>11990</v>
      </c>
      <c r="L1650" s="13" t="str">
        <f>HYPERLINK("http://asia.ensembl.org/Homo_sapiens/Gene/Summary?g=ENSG00000198231", "ENSG00000198231")</f>
        <v>ENSG00000198231</v>
      </c>
      <c r="M1650" s="12" t="s">
        <v>11991</v>
      </c>
      <c r="N1650" s="12" t="s">
        <v>11992</v>
      </c>
    </row>
    <row r="1651" spans="1:14">
      <c r="A1651" s="12" t="s">
        <v>2182</v>
      </c>
      <c r="B1651" s="8">
        <v>230.17634524346099</v>
      </c>
      <c r="C1651" s="12">
        <v>113.448618203636</v>
      </c>
      <c r="D1651" s="8">
        <v>1.0207005410513501</v>
      </c>
      <c r="E1651" s="12">
        <v>9.7175072918576303E-3</v>
      </c>
      <c r="F1651" s="8" t="s">
        <v>2183</v>
      </c>
      <c r="G1651" s="12" t="s">
        <v>2184</v>
      </c>
      <c r="H1651" s="12">
        <v>1</v>
      </c>
      <c r="I1651" s="13" t="str">
        <f>HYPERLINK("http://www.ncbi.nlm.nih.gov/gene/2241", "2241")</f>
        <v>2241</v>
      </c>
      <c r="J1651" s="13" t="str">
        <f>HYPERLINK("http://www.ncbi.nlm.nih.gov/nuccore/NM_005246", "NM_005246")</f>
        <v>NM_005246</v>
      </c>
      <c r="K1651" s="12" t="s">
        <v>2185</v>
      </c>
      <c r="L1651" s="13" t="str">
        <f>HYPERLINK("http://asia.ensembl.org/Homo_sapiens/Gene/Summary?g=ENSG00000151422", "ENSG00000151422")</f>
        <v>ENSG00000151422</v>
      </c>
      <c r="M1651" s="12" t="s">
        <v>12564</v>
      </c>
      <c r="N1651" s="12" t="s">
        <v>12565</v>
      </c>
    </row>
    <row r="1652" spans="1:14">
      <c r="A1652" s="12" t="s">
        <v>5704</v>
      </c>
      <c r="B1652" s="8">
        <v>2147.60493458888</v>
      </c>
      <c r="C1652" s="12">
        <v>1058.63982286178</v>
      </c>
      <c r="D1652" s="8">
        <v>1.0205167949443199</v>
      </c>
      <c r="E1652" s="12">
        <v>2.04723849895963E-3</v>
      </c>
      <c r="F1652" s="8" t="s">
        <v>5705</v>
      </c>
      <c r="G1652" s="12" t="s">
        <v>5706</v>
      </c>
      <c r="H1652" s="12">
        <v>1</v>
      </c>
      <c r="I1652" s="13" t="str">
        <f>HYPERLINK("http://www.ncbi.nlm.nih.gov/gene/7360", "7360")</f>
        <v>7360</v>
      </c>
      <c r="J1652" s="12" t="s">
        <v>13889</v>
      </c>
      <c r="K1652" s="12" t="s">
        <v>13890</v>
      </c>
      <c r="L1652" s="13" t="str">
        <f>HYPERLINK("http://asia.ensembl.org/Homo_sapiens/Gene/Summary?g=ENSG00000169764", "ENSG00000169764")</f>
        <v>ENSG00000169764</v>
      </c>
      <c r="M1652" s="12" t="s">
        <v>13891</v>
      </c>
      <c r="N1652" s="12" t="s">
        <v>13892</v>
      </c>
    </row>
    <row r="1653" spans="1:14">
      <c r="A1653" s="12" t="s">
        <v>9947</v>
      </c>
      <c r="B1653" s="8">
        <v>2579.9731820953102</v>
      </c>
      <c r="C1653" s="12">
        <v>1271.9770638503701</v>
      </c>
      <c r="D1653" s="8">
        <v>1.02028341308452</v>
      </c>
      <c r="E1653" s="12">
        <v>2.8053127854831498E-3</v>
      </c>
      <c r="F1653" s="8" t="s">
        <v>5067</v>
      </c>
      <c r="G1653" s="12" t="s">
        <v>13559</v>
      </c>
      <c r="H1653" s="12">
        <v>1</v>
      </c>
      <c r="I1653" s="13" t="str">
        <f>HYPERLINK("http://www.ncbi.nlm.nih.gov/gene/6738", "6738")</f>
        <v>6738</v>
      </c>
      <c r="J1653" s="12" t="s">
        <v>15253</v>
      </c>
      <c r="K1653" s="12" t="s">
        <v>15254</v>
      </c>
      <c r="L1653" s="13" t="str">
        <f>HYPERLINK("http://asia.ensembl.org/Homo_sapiens/Gene/Summary?g=ENSG00000116747", "ENSG00000116747")</f>
        <v>ENSG00000116747</v>
      </c>
      <c r="M1653" s="12" t="s">
        <v>13562</v>
      </c>
      <c r="N1653" s="12" t="s">
        <v>13563</v>
      </c>
    </row>
    <row r="1654" spans="1:14">
      <c r="A1654" s="12" t="s">
        <v>913</v>
      </c>
      <c r="B1654" s="8">
        <v>4671.3657312258301</v>
      </c>
      <c r="C1654" s="12">
        <v>2303.1257729539502</v>
      </c>
      <c r="D1654" s="8">
        <v>1.0202512028520601</v>
      </c>
      <c r="E1654" s="12">
        <v>5.5949191351838401E-3</v>
      </c>
      <c r="F1654" s="8" t="s">
        <v>914</v>
      </c>
      <c r="G1654" s="12" t="s">
        <v>12160</v>
      </c>
      <c r="H1654" s="12">
        <v>1</v>
      </c>
      <c r="I1654" s="13" t="str">
        <f>HYPERLINK("http://www.ncbi.nlm.nih.gov/gene/58486", "58486")</f>
        <v>58486</v>
      </c>
      <c r="J1654" s="12" t="s">
        <v>12161</v>
      </c>
      <c r="K1654" s="12" t="s">
        <v>12162</v>
      </c>
      <c r="L1654" s="13" t="str">
        <f>HYPERLINK("http://asia.ensembl.org/Homo_sapiens/Gene/Summary?g=ENSG00000236287", "ENSG00000236287")</f>
        <v>ENSG00000236287</v>
      </c>
      <c r="M1654" s="12" t="s">
        <v>12163</v>
      </c>
      <c r="N1654" s="12" t="s">
        <v>12164</v>
      </c>
    </row>
    <row r="1655" spans="1:14">
      <c r="A1655" s="12" t="s">
        <v>9120</v>
      </c>
      <c r="B1655" s="8">
        <v>1814.2470805262701</v>
      </c>
      <c r="C1655" s="12">
        <v>894.54707431023496</v>
      </c>
      <c r="D1655" s="8">
        <v>1.02014163923505</v>
      </c>
      <c r="E1655" s="12">
        <v>9.9239774372662792E-3</v>
      </c>
      <c r="F1655" s="8" t="s">
        <v>9121</v>
      </c>
      <c r="G1655" s="12" t="s">
        <v>9122</v>
      </c>
      <c r="H1655" s="12">
        <v>1</v>
      </c>
      <c r="I1655" s="13" t="str">
        <f>HYPERLINK("http://www.ncbi.nlm.nih.gov/gene/81671", "81671")</f>
        <v>81671</v>
      </c>
      <c r="J1655" s="13" t="str">
        <f>HYPERLINK("http://www.ncbi.nlm.nih.gov/nuccore/NM_030938", "NM_030938")</f>
        <v>NM_030938</v>
      </c>
      <c r="K1655" s="12" t="s">
        <v>9123</v>
      </c>
      <c r="L1655" s="13" t="str">
        <f>HYPERLINK("http://asia.ensembl.org/Homo_sapiens/Gene/Summary?g=ENSG00000062716", "ENSG00000062716")</f>
        <v>ENSG00000062716</v>
      </c>
      <c r="M1655" s="12" t="s">
        <v>14999</v>
      </c>
      <c r="N1655" s="12" t="s">
        <v>15000</v>
      </c>
    </row>
    <row r="1656" spans="1:14">
      <c r="A1656" s="12" t="s">
        <v>8162</v>
      </c>
      <c r="B1656" s="8">
        <v>278.77852344679201</v>
      </c>
      <c r="C1656" s="12">
        <v>137.50153323404299</v>
      </c>
      <c r="D1656" s="8">
        <v>1.0196717173362999</v>
      </c>
      <c r="E1656" s="12">
        <v>4.9385811927242604E-4</v>
      </c>
      <c r="F1656" s="8" t="s">
        <v>8163</v>
      </c>
      <c r="G1656" s="12" t="s">
        <v>14690</v>
      </c>
      <c r="H1656" s="12">
        <v>4</v>
      </c>
      <c r="I1656" s="12" t="s">
        <v>8164</v>
      </c>
      <c r="J1656" s="12" t="s">
        <v>8165</v>
      </c>
      <c r="K1656" s="12" t="s">
        <v>8166</v>
      </c>
      <c r="L1656" s="12" t="s">
        <v>8167</v>
      </c>
      <c r="M1656" s="12" t="s">
        <v>14691</v>
      </c>
      <c r="N1656" s="12" t="s">
        <v>14692</v>
      </c>
    </row>
    <row r="1657" spans="1:14">
      <c r="A1657" s="12" t="s">
        <v>7513</v>
      </c>
      <c r="B1657" s="8">
        <v>101.303600213903</v>
      </c>
      <c r="C1657" s="12">
        <v>49.999999999999901</v>
      </c>
      <c r="D1657" s="8">
        <v>1.0186854467792199</v>
      </c>
      <c r="E1657" s="12">
        <v>1.5198330140759001E-4</v>
      </c>
      <c r="F1657" s="8" t="s">
        <v>7514</v>
      </c>
      <c r="G1657" s="12" t="s">
        <v>14458</v>
      </c>
      <c r="H1657" s="12">
        <v>1</v>
      </c>
      <c r="I1657" s="13" t="str">
        <f>HYPERLINK("http://www.ncbi.nlm.nih.gov/gene/3856", "3856")</f>
        <v>3856</v>
      </c>
      <c r="J1657" s="12" t="s">
        <v>14459</v>
      </c>
      <c r="K1657" s="12" t="s">
        <v>14460</v>
      </c>
      <c r="L1657" s="13" t="str">
        <f>HYPERLINK("http://asia.ensembl.org/Homo_sapiens/Gene/Summary?g=ENSG00000170421", "ENSG00000170421")</f>
        <v>ENSG00000170421</v>
      </c>
      <c r="M1657" s="12" t="s">
        <v>14461</v>
      </c>
      <c r="N1657" s="12" t="s">
        <v>14462</v>
      </c>
    </row>
    <row r="1658" spans="1:14">
      <c r="A1658" s="12" t="s">
        <v>5581</v>
      </c>
      <c r="B1658" s="8">
        <v>1674.2555424484499</v>
      </c>
      <c r="C1658" s="12">
        <v>826.56119838624295</v>
      </c>
      <c r="D1658" s="8">
        <v>1.0183261985815399</v>
      </c>
      <c r="E1658" s="12">
        <v>2.9577458222176299E-2</v>
      </c>
      <c r="F1658" s="8" t="s">
        <v>5582</v>
      </c>
      <c r="G1658" s="12" t="s">
        <v>5583</v>
      </c>
      <c r="H1658" s="12">
        <v>1</v>
      </c>
      <c r="I1658" s="13" t="str">
        <f>HYPERLINK("http://www.ncbi.nlm.nih.gov/gene/64062", "64062")</f>
        <v>64062</v>
      </c>
      <c r="J1658" s="13" t="str">
        <f>HYPERLINK("http://www.ncbi.nlm.nih.gov/nuccore/NM_022118", "NM_022118")</f>
        <v>NM_022118</v>
      </c>
      <c r="K1658" s="12" t="s">
        <v>5584</v>
      </c>
      <c r="L1658" s="13" t="str">
        <f>HYPERLINK("http://asia.ensembl.org/Homo_sapiens/Gene/Summary?g=ENSG00000139746", "ENSG00000139746")</f>
        <v>ENSG00000139746</v>
      </c>
      <c r="M1658" s="12" t="s">
        <v>13834</v>
      </c>
      <c r="N1658" s="12" t="s">
        <v>13835</v>
      </c>
    </row>
    <row r="1659" spans="1:14">
      <c r="A1659" s="12" t="s">
        <v>11162</v>
      </c>
      <c r="B1659" s="8">
        <v>1201.4178728706499</v>
      </c>
      <c r="C1659" s="12">
        <v>593.14994113808098</v>
      </c>
      <c r="D1659" s="8">
        <v>1.0182692795013399</v>
      </c>
      <c r="E1659" s="12">
        <v>9.4819092249159003E-3</v>
      </c>
      <c r="F1659" s="8" t="s">
        <v>1338</v>
      </c>
      <c r="G1659" s="12" t="s">
        <v>16008</v>
      </c>
      <c r="H1659" s="12">
        <v>1</v>
      </c>
      <c r="I1659" s="13" t="str">
        <f>HYPERLINK("http://www.ncbi.nlm.nih.gov/gene/9517", "9517")</f>
        <v>9517</v>
      </c>
      <c r="J1659" s="13" t="str">
        <f>HYPERLINK("http://www.ncbi.nlm.nih.gov/nuccore/NM_004863", "NM_004863")</f>
        <v>NM_004863</v>
      </c>
      <c r="K1659" s="12" t="s">
        <v>1339</v>
      </c>
      <c r="L1659" s="13" t="str">
        <f>HYPERLINK("http://asia.ensembl.org/Homo_sapiens/Gene/Summary?g=ENSG00000100596", "ENSG00000100596")</f>
        <v>ENSG00000100596</v>
      </c>
      <c r="M1659" s="12" t="s">
        <v>16009</v>
      </c>
      <c r="N1659" s="12" t="s">
        <v>16010</v>
      </c>
    </row>
    <row r="1660" spans="1:14">
      <c r="A1660" s="12" t="s">
        <v>5235</v>
      </c>
      <c r="B1660" s="8">
        <v>8956.2789517633391</v>
      </c>
      <c r="C1660" s="12">
        <v>4422.0804243091397</v>
      </c>
      <c r="D1660" s="8">
        <v>1.0181741993239299</v>
      </c>
      <c r="E1660" s="12">
        <v>1.1867516359751801E-3</v>
      </c>
      <c r="F1660" s="8" t="s">
        <v>5236</v>
      </c>
      <c r="G1660" s="12" t="s">
        <v>5237</v>
      </c>
      <c r="H1660" s="12">
        <v>1</v>
      </c>
      <c r="I1660" s="13" t="str">
        <f>HYPERLINK("http://www.ncbi.nlm.nih.gov/gene/57122", "57122")</f>
        <v>57122</v>
      </c>
      <c r="J1660" s="13" t="str">
        <f>HYPERLINK("http://www.ncbi.nlm.nih.gov/nuccore/NM_020401", "NM_020401")</f>
        <v>NM_020401</v>
      </c>
      <c r="K1660" s="12" t="s">
        <v>5238</v>
      </c>
      <c r="L1660" s="13" t="str">
        <f>HYPERLINK("http://asia.ensembl.org/Homo_sapiens/Gene/Summary?g=ENSG00000111581", "ENSG00000111581")</f>
        <v>ENSG00000111581</v>
      </c>
      <c r="M1660" s="12" t="s">
        <v>13635</v>
      </c>
      <c r="N1660" s="12" t="s">
        <v>13636</v>
      </c>
    </row>
    <row r="1661" spans="1:14">
      <c r="A1661" s="12" t="s">
        <v>9277</v>
      </c>
      <c r="B1661" s="8">
        <v>146.443931900471</v>
      </c>
      <c r="C1661" s="12">
        <v>72.306266929363403</v>
      </c>
      <c r="D1661" s="8">
        <v>1.01815581547902</v>
      </c>
      <c r="E1661" s="12">
        <v>1.09247871493154E-2</v>
      </c>
      <c r="F1661" s="8" t="s">
        <v>9278</v>
      </c>
      <c r="G1661" s="12" t="s">
        <v>9279</v>
      </c>
      <c r="H1661" s="12">
        <v>1</v>
      </c>
      <c r="I1661" s="13" t="str">
        <f>HYPERLINK("http://www.ncbi.nlm.nih.gov/gene/10761", "10761")</f>
        <v>10761</v>
      </c>
      <c r="J1661" s="13" t="str">
        <f>HYPERLINK("http://www.ncbi.nlm.nih.gov/nuccore/NM_021796", "NM_021796")</f>
        <v>NM_021796</v>
      </c>
      <c r="K1661" s="12" t="s">
        <v>9280</v>
      </c>
      <c r="L1661" s="13" t="str">
        <f>HYPERLINK("http://asia.ensembl.org/Homo_sapiens/Gene/Summary?g=ENSG00000170965", "ENSG00000170965")</f>
        <v>ENSG00000170965</v>
      </c>
      <c r="M1661" s="12" t="s">
        <v>15023</v>
      </c>
      <c r="N1661" s="12" t="s">
        <v>9281</v>
      </c>
    </row>
    <row r="1662" spans="1:14">
      <c r="A1662" s="12" t="s">
        <v>8968</v>
      </c>
      <c r="B1662" s="8">
        <v>1798.1981790755699</v>
      </c>
      <c r="C1662" s="12">
        <v>887.901689369422</v>
      </c>
      <c r="D1662" s="8">
        <v>1.01808017692432</v>
      </c>
      <c r="E1662" s="12">
        <v>1.4549033043884999E-2</v>
      </c>
      <c r="F1662" s="8" t="s">
        <v>1402</v>
      </c>
      <c r="G1662" s="12" t="s">
        <v>14951</v>
      </c>
      <c r="H1662" s="12">
        <v>1</v>
      </c>
      <c r="I1662" s="13" t="str">
        <f>HYPERLINK("http://www.ncbi.nlm.nih.gov/gene/7812", "7812")</f>
        <v>7812</v>
      </c>
      <c r="J1662" s="12" t="s">
        <v>14952</v>
      </c>
      <c r="K1662" s="12" t="s">
        <v>14953</v>
      </c>
      <c r="L1662" s="13" t="str">
        <f>HYPERLINK("http://asia.ensembl.org/Homo_sapiens/Gene/Summary?g=ENSG00000009307", "ENSG00000009307")</f>
        <v>ENSG00000009307</v>
      </c>
      <c r="M1662" s="12" t="s">
        <v>14954</v>
      </c>
      <c r="N1662" s="12" t="s">
        <v>14955</v>
      </c>
    </row>
    <row r="1663" spans="1:14">
      <c r="A1663" s="12" t="s">
        <v>11652</v>
      </c>
      <c r="B1663" s="8">
        <v>1430.61691347793</v>
      </c>
      <c r="C1663" s="12">
        <v>706.47256470861998</v>
      </c>
      <c r="D1663" s="8">
        <v>1.01793196214752</v>
      </c>
      <c r="E1663" s="12">
        <v>6.7342044783283601E-3</v>
      </c>
      <c r="F1663" s="8" t="s">
        <v>11608</v>
      </c>
      <c r="G1663" s="12" t="s">
        <v>16182</v>
      </c>
      <c r="H1663" s="12">
        <v>4</v>
      </c>
      <c r="I1663" s="12" t="s">
        <v>11609</v>
      </c>
      <c r="J1663" s="12" t="s">
        <v>16183</v>
      </c>
      <c r="K1663" s="12" t="s">
        <v>16184</v>
      </c>
      <c r="L1663" s="12" t="s">
        <v>11612</v>
      </c>
      <c r="M1663" s="12" t="s">
        <v>16160</v>
      </c>
      <c r="N1663" s="12" t="s">
        <v>16161</v>
      </c>
    </row>
    <row r="1664" spans="1:14">
      <c r="A1664" s="12" t="s">
        <v>10696</v>
      </c>
      <c r="B1664" s="8">
        <v>2599.1274987924699</v>
      </c>
      <c r="C1664" s="12">
        <v>1283.7651015922499</v>
      </c>
      <c r="D1664" s="8">
        <v>1.0176461583596901</v>
      </c>
      <c r="E1664" s="12">
        <v>7.3800585506094904E-3</v>
      </c>
      <c r="F1664" s="8" t="s">
        <v>6101</v>
      </c>
      <c r="G1664" s="12" t="s">
        <v>6102</v>
      </c>
      <c r="H1664" s="12">
        <v>1</v>
      </c>
      <c r="I1664" s="13" t="str">
        <f>HYPERLINK("http://www.ncbi.nlm.nih.gov/gene/55705", "55705")</f>
        <v>55705</v>
      </c>
      <c r="J1664" s="13" t="str">
        <f>HYPERLINK("http://www.ncbi.nlm.nih.gov/nuccore/NM_018085", "NM_018085")</f>
        <v>NM_018085</v>
      </c>
      <c r="K1664" s="12" t="s">
        <v>6103</v>
      </c>
      <c r="L1664" s="13" t="str">
        <f>HYPERLINK("http://asia.ensembl.org/Homo_sapiens/Gene/Summary?g=ENSG00000198700", "ENSG00000198700")</f>
        <v>ENSG00000198700</v>
      </c>
      <c r="M1664" s="12" t="s">
        <v>15727</v>
      </c>
      <c r="N1664" s="12" t="s">
        <v>15728</v>
      </c>
    </row>
    <row r="1665" spans="1:14">
      <c r="A1665" s="12" t="s">
        <v>3568</v>
      </c>
      <c r="B1665" s="8">
        <v>733.47894421413196</v>
      </c>
      <c r="C1665" s="12">
        <v>362.47564488082003</v>
      </c>
      <c r="D1665" s="8">
        <v>1.01687148923909</v>
      </c>
      <c r="E1665" s="12">
        <v>2.4925184071409E-3</v>
      </c>
      <c r="F1665" s="8" t="s">
        <v>3569</v>
      </c>
      <c r="G1665" s="12" t="s">
        <v>3570</v>
      </c>
      <c r="H1665" s="12">
        <v>1</v>
      </c>
      <c r="I1665" s="13" t="str">
        <f>HYPERLINK("http://www.ncbi.nlm.nih.gov/gene/57634", "57634")</f>
        <v>57634</v>
      </c>
      <c r="J1665" s="13" t="str">
        <f>HYPERLINK("http://www.ncbi.nlm.nih.gov/nuccore/NM_015409", "NM_015409")</f>
        <v>NM_015409</v>
      </c>
      <c r="K1665" s="12" t="s">
        <v>3571</v>
      </c>
      <c r="L1665" s="13" t="str">
        <f>HYPERLINK("http://asia.ensembl.org/Homo_sapiens/Gene/Summary?g=ENSG00000183495", "ENSG00000183495")</f>
        <v>ENSG00000183495</v>
      </c>
      <c r="M1665" s="12" t="s">
        <v>13045</v>
      </c>
      <c r="N1665" s="12" t="s">
        <v>13046</v>
      </c>
    </row>
    <row r="1666" spans="1:14">
      <c r="A1666" s="12" t="s">
        <v>7778</v>
      </c>
      <c r="B1666" s="8">
        <v>1425.7110426100201</v>
      </c>
      <c r="C1666" s="12">
        <v>704.57386399641302</v>
      </c>
      <c r="D1666" s="8">
        <v>1.01685874726929</v>
      </c>
      <c r="E1666" s="12">
        <v>1.7758472408973601E-3</v>
      </c>
      <c r="F1666" s="8" t="s">
        <v>7779</v>
      </c>
      <c r="G1666" s="12" t="s">
        <v>14545</v>
      </c>
      <c r="H1666" s="12">
        <v>1</v>
      </c>
      <c r="I1666" s="13" t="str">
        <f>HYPERLINK("http://www.ncbi.nlm.nih.gov/gene/51054", "51054")</f>
        <v>51054</v>
      </c>
      <c r="J1666" s="13" t="str">
        <f>HYPERLINK("http://www.ncbi.nlm.nih.gov/nuccore/NR_037144", "NR_037144")</f>
        <v>NR_037144</v>
      </c>
      <c r="K1666" s="12" t="s">
        <v>199</v>
      </c>
      <c r="L1666" s="13" t="str">
        <f>HYPERLINK("http://asia.ensembl.org/Homo_sapiens/Gene/Summary?g=ENSG00000134297", "ENSG00000134297")</f>
        <v>ENSG00000134297</v>
      </c>
      <c r="M1666" s="12" t="s">
        <v>14546</v>
      </c>
    </row>
    <row r="1667" spans="1:14">
      <c r="A1667" s="12" t="s">
        <v>6339</v>
      </c>
      <c r="B1667" s="8">
        <v>714.590754446662</v>
      </c>
      <c r="C1667" s="12">
        <v>353.24381664187399</v>
      </c>
      <c r="D1667" s="8">
        <v>1.0164529409780101</v>
      </c>
      <c r="E1667" s="12">
        <v>1.91320419566868E-3</v>
      </c>
      <c r="F1667" s="8" t="s">
        <v>6340</v>
      </c>
      <c r="G1667" s="12" t="s">
        <v>14149</v>
      </c>
      <c r="H1667" s="12">
        <v>1</v>
      </c>
      <c r="I1667" s="13" t="str">
        <f>HYPERLINK("http://www.ncbi.nlm.nih.gov/gene/23483", "23483")</f>
        <v>23483</v>
      </c>
      <c r="J1667" s="13" t="str">
        <f>HYPERLINK("http://www.ncbi.nlm.nih.gov/nuccore/NM_014305", "NM_014305")</f>
        <v>NM_014305</v>
      </c>
      <c r="K1667" s="12" t="s">
        <v>6341</v>
      </c>
      <c r="L1667" s="13" t="str">
        <f>HYPERLINK("http://asia.ensembl.org/Homo_sapiens/Gene/Summary?g=ENSG00000088451", "ENSG00000088451")</f>
        <v>ENSG00000088451</v>
      </c>
      <c r="M1667" s="12" t="s">
        <v>14150</v>
      </c>
      <c r="N1667" s="12" t="s">
        <v>6342</v>
      </c>
    </row>
    <row r="1668" spans="1:14">
      <c r="A1668" s="12" t="s">
        <v>5298</v>
      </c>
      <c r="B1668" s="8">
        <v>476.84996913792401</v>
      </c>
      <c r="C1668" s="12">
        <v>235.77113402679899</v>
      </c>
      <c r="D1668" s="8">
        <v>1.01614832698978</v>
      </c>
      <c r="E1668" s="12">
        <v>6.2290101601381199E-3</v>
      </c>
      <c r="F1668" s="8" t="s">
        <v>5299</v>
      </c>
      <c r="G1668" s="12" t="s">
        <v>5300</v>
      </c>
      <c r="H1668" s="12">
        <v>1</v>
      </c>
      <c r="I1668" s="13" t="str">
        <f>HYPERLINK("http://www.ncbi.nlm.nih.gov/gene/200894", "200894")</f>
        <v>200894</v>
      </c>
      <c r="J1668" s="12" t="s">
        <v>13668</v>
      </c>
      <c r="K1668" s="12" t="s">
        <v>13669</v>
      </c>
      <c r="L1668" s="13" t="str">
        <f>HYPERLINK("http://asia.ensembl.org/Homo_sapiens/Gene/Summary?g=ENSG00000169379", "ENSG00000169379")</f>
        <v>ENSG00000169379</v>
      </c>
      <c r="M1668" s="12" t="s">
        <v>13670</v>
      </c>
      <c r="N1668" s="12" t="s">
        <v>13671</v>
      </c>
    </row>
    <row r="1669" spans="1:14">
      <c r="A1669" s="12" t="s">
        <v>8748</v>
      </c>
      <c r="B1669" s="8">
        <v>525.64333871222402</v>
      </c>
      <c r="C1669" s="12">
        <v>259.93149509641398</v>
      </c>
      <c r="D1669" s="8">
        <v>1.0159527778719999</v>
      </c>
      <c r="E1669" s="12">
        <v>3.0886108913744801E-2</v>
      </c>
      <c r="F1669" s="8" t="s">
        <v>6211</v>
      </c>
      <c r="G1669" s="12" t="s">
        <v>6212</v>
      </c>
      <c r="H1669" s="12">
        <v>1</v>
      </c>
      <c r="I1669" s="13" t="str">
        <f>HYPERLINK("http://www.ncbi.nlm.nih.gov/gene/63977", "63977")</f>
        <v>63977</v>
      </c>
      <c r="J1669" s="13" t="str">
        <f>HYPERLINK("http://www.ncbi.nlm.nih.gov/nuccore/NM_001040424", "NM_001040424")</f>
        <v>NM_001040424</v>
      </c>
      <c r="K1669" s="12" t="s">
        <v>8749</v>
      </c>
      <c r="L1669" s="13" t="str">
        <f>HYPERLINK("http://asia.ensembl.org/Homo_sapiens/Gene/Summary?g=ENSG00000141956", "ENSG00000141956")</f>
        <v>ENSG00000141956</v>
      </c>
      <c r="M1669" s="12" t="s">
        <v>14847</v>
      </c>
      <c r="N1669" s="12" t="s">
        <v>14848</v>
      </c>
    </row>
    <row r="1670" spans="1:14">
      <c r="A1670" s="12" t="s">
        <v>5625</v>
      </c>
      <c r="B1670" s="8">
        <v>301.16792614506301</v>
      </c>
      <c r="C1670" s="12">
        <v>148.93617026726099</v>
      </c>
      <c r="D1670" s="8">
        <v>1.0158739679086699</v>
      </c>
      <c r="E1670" s="12">
        <v>3.7829384517753001E-2</v>
      </c>
      <c r="F1670" s="8" t="s">
        <v>5626</v>
      </c>
      <c r="G1670" s="12" t="s">
        <v>5627</v>
      </c>
      <c r="H1670" s="12">
        <v>1</v>
      </c>
      <c r="I1670" s="13" t="str">
        <f>HYPERLINK("http://www.ncbi.nlm.nih.gov/gene/11193", "11193")</f>
        <v>11193</v>
      </c>
      <c r="J1670" s="13" t="str">
        <f>HYPERLINK("http://www.ncbi.nlm.nih.gov/nuccore/NM_007187", "NM_007187")</f>
        <v>NM_007187</v>
      </c>
      <c r="K1670" s="12" t="s">
        <v>5628</v>
      </c>
      <c r="L1670" s="13" t="str">
        <f>HYPERLINK("http://asia.ensembl.org/Homo_sapiens/Gene/Summary?g=ENSG00000120688", "ENSG00000120688")</f>
        <v>ENSG00000120688</v>
      </c>
      <c r="M1670" s="12" t="s">
        <v>5629</v>
      </c>
      <c r="N1670" s="12" t="s">
        <v>5630</v>
      </c>
    </row>
    <row r="1671" spans="1:14">
      <c r="A1671" s="12" t="s">
        <v>3639</v>
      </c>
      <c r="B1671" s="8">
        <v>3165.0850640572098</v>
      </c>
      <c r="C1671" s="12">
        <v>1565.6341317797801</v>
      </c>
      <c r="D1671" s="8">
        <v>1.0154971606433201</v>
      </c>
      <c r="E1671" s="12">
        <v>6.5391115721226099E-3</v>
      </c>
      <c r="F1671" s="8" t="s">
        <v>3640</v>
      </c>
      <c r="G1671" s="12" t="s">
        <v>3641</v>
      </c>
      <c r="H1671" s="12">
        <v>1</v>
      </c>
      <c r="I1671" s="13" t="str">
        <f>HYPERLINK("http://www.ncbi.nlm.nih.gov/gene/84640", "84640")</f>
        <v>84640</v>
      </c>
      <c r="J1671" s="13" t="str">
        <f>HYPERLINK("http://www.ncbi.nlm.nih.gov/nuccore/NM_032557", "NM_032557")</f>
        <v>NM_032557</v>
      </c>
      <c r="K1671" s="12" t="s">
        <v>3642</v>
      </c>
      <c r="L1671" s="13" t="str">
        <f>HYPERLINK("http://asia.ensembl.org/Homo_sapiens/Gene/Summary?g=ENSG00000170185", "ENSG00000170185")</f>
        <v>ENSG00000170185</v>
      </c>
      <c r="M1671" s="12" t="s">
        <v>13065</v>
      </c>
      <c r="N1671" s="12" t="s">
        <v>13066</v>
      </c>
    </row>
    <row r="1672" spans="1:14">
      <c r="A1672" s="12" t="s">
        <v>9875</v>
      </c>
      <c r="B1672" s="8">
        <v>245.37333488573299</v>
      </c>
      <c r="C1672" s="12">
        <v>121.411179672584</v>
      </c>
      <c r="D1672" s="8">
        <v>1.0150772049043999</v>
      </c>
      <c r="E1672" s="12">
        <v>4.1957296802666499E-3</v>
      </c>
      <c r="F1672" s="8" t="s">
        <v>4541</v>
      </c>
      <c r="G1672" s="12" t="s">
        <v>4542</v>
      </c>
      <c r="H1672" s="12">
        <v>1</v>
      </c>
      <c r="I1672" s="13" t="str">
        <f>HYPERLINK("http://www.ncbi.nlm.nih.gov/gene/2744", "2744")</f>
        <v>2744</v>
      </c>
      <c r="J1672" s="13" t="str">
        <f>HYPERLINK("http://www.ncbi.nlm.nih.gov/nuccore/NM_014905", "NM_014905")</f>
        <v>NM_014905</v>
      </c>
      <c r="K1672" s="12" t="s">
        <v>4543</v>
      </c>
      <c r="L1672" s="13" t="str">
        <f>HYPERLINK("http://asia.ensembl.org/Homo_sapiens/Gene/Summary?g=ENSG00000115419", "ENSG00000115419")</f>
        <v>ENSG00000115419</v>
      </c>
      <c r="M1672" s="12" t="s">
        <v>15229</v>
      </c>
      <c r="N1672" s="12" t="s">
        <v>15230</v>
      </c>
    </row>
    <row r="1673" spans="1:14">
      <c r="A1673" s="12" t="s">
        <v>10605</v>
      </c>
      <c r="B1673" s="8">
        <v>1316.5970890885901</v>
      </c>
      <c r="C1673" s="12">
        <v>651.50847644156102</v>
      </c>
      <c r="D1673" s="8">
        <v>1.0149580589756899</v>
      </c>
      <c r="E1673" s="12">
        <v>1.28766452160026E-2</v>
      </c>
      <c r="F1673" s="8" t="s">
        <v>3104</v>
      </c>
      <c r="G1673" s="12" t="s">
        <v>3105</v>
      </c>
      <c r="H1673" s="12">
        <v>1</v>
      </c>
      <c r="I1673" s="13" t="str">
        <f>HYPERLINK("http://www.ncbi.nlm.nih.gov/gene/112479", "112479")</f>
        <v>112479</v>
      </c>
      <c r="J1673" s="13" t="str">
        <f>HYPERLINK("http://www.ncbi.nlm.nih.gov/nuccore/NM_001142725", "NM_001142725")</f>
        <v>NM_001142725</v>
      </c>
      <c r="K1673" s="12" t="s">
        <v>8920</v>
      </c>
      <c r="L1673" s="13" t="str">
        <f>HYPERLINK("http://asia.ensembl.org/Homo_sapiens/Gene/Summary?g=ENSG00000196678", "ENSG00000196678")</f>
        <v>ENSG00000196678</v>
      </c>
      <c r="M1673" s="12" t="s">
        <v>15622</v>
      </c>
      <c r="N1673" s="12" t="s">
        <v>15623</v>
      </c>
    </row>
    <row r="1674" spans="1:14">
      <c r="A1674" s="12" t="s">
        <v>2781</v>
      </c>
      <c r="B1674" s="8">
        <v>865.28495448462502</v>
      </c>
      <c r="C1674" s="12">
        <v>428.21184038848298</v>
      </c>
      <c r="D1674" s="8">
        <v>1.0148506294913999</v>
      </c>
      <c r="E1674" s="12">
        <v>1.2977189107767899E-3</v>
      </c>
      <c r="F1674" s="8" t="s">
        <v>2782</v>
      </c>
      <c r="G1674" s="12" t="s">
        <v>12778</v>
      </c>
      <c r="H1674" s="12">
        <v>1</v>
      </c>
      <c r="I1674" s="13" t="str">
        <f>HYPERLINK("http://www.ncbi.nlm.nih.gov/gene/29966", "29966")</f>
        <v>29966</v>
      </c>
      <c r="J1674" s="12" t="s">
        <v>12779</v>
      </c>
      <c r="K1674" s="12" t="s">
        <v>12780</v>
      </c>
      <c r="L1674" s="13" t="str">
        <f>HYPERLINK("http://asia.ensembl.org/Homo_sapiens/Gene/Summary?g=ENSG00000196792", "ENSG00000196792")</f>
        <v>ENSG00000196792</v>
      </c>
      <c r="M1674" s="12" t="s">
        <v>12781</v>
      </c>
      <c r="N1674" s="12" t="s">
        <v>12782</v>
      </c>
    </row>
    <row r="1675" spans="1:14">
      <c r="A1675" s="12" t="s">
        <v>10327</v>
      </c>
      <c r="B1675" s="8">
        <v>568.02759907843301</v>
      </c>
      <c r="C1675" s="12">
        <v>281.11598490818102</v>
      </c>
      <c r="D1675" s="8">
        <v>1.0147955374300199</v>
      </c>
      <c r="E1675" s="12">
        <v>1.54302157449607E-2</v>
      </c>
      <c r="F1675" s="8" t="s">
        <v>2908</v>
      </c>
      <c r="G1675" s="12" t="s">
        <v>2909</v>
      </c>
      <c r="H1675" s="12">
        <v>1</v>
      </c>
      <c r="I1675" s="13" t="str">
        <f>HYPERLINK("http://www.ncbi.nlm.nih.gov/gene/55787", "55787")</f>
        <v>55787</v>
      </c>
      <c r="J1675" s="12" t="s">
        <v>15400</v>
      </c>
      <c r="K1675" s="12" t="s">
        <v>15401</v>
      </c>
      <c r="L1675" s="13" t="str">
        <f>HYPERLINK("http://asia.ensembl.org/Homo_sapiens/Gene/Summary?g=ENSG00000086712", "ENSG00000086712")</f>
        <v>ENSG00000086712</v>
      </c>
      <c r="M1675" s="12" t="s">
        <v>15402</v>
      </c>
      <c r="N1675" s="12" t="s">
        <v>15403</v>
      </c>
    </row>
    <row r="1676" spans="1:14">
      <c r="A1676" s="12" t="s">
        <v>10889</v>
      </c>
      <c r="B1676" s="8">
        <v>848.76191135728504</v>
      </c>
      <c r="C1676" s="12">
        <v>420.21629726672302</v>
      </c>
      <c r="D1676" s="8">
        <v>1.01422780079736</v>
      </c>
      <c r="E1676" s="12">
        <v>1.27512850927752E-2</v>
      </c>
      <c r="F1676" s="8" t="s">
        <v>10890</v>
      </c>
      <c r="G1676" s="12" t="s">
        <v>15948</v>
      </c>
      <c r="H1676" s="12">
        <v>1</v>
      </c>
      <c r="I1676" s="13" t="str">
        <f>HYPERLINK("http://www.ncbi.nlm.nih.gov/gene/260341", "260341")</f>
        <v>260341</v>
      </c>
      <c r="J1676" s="13" t="str">
        <f>HYPERLINK("http://www.ncbi.nlm.nih.gov/nuccore/NR_001288", "NR_001288")</f>
        <v>NR_001288</v>
      </c>
      <c r="K1676" s="12" t="s">
        <v>199</v>
      </c>
      <c r="L1676" s="12" t="s">
        <v>38</v>
      </c>
      <c r="M1676" s="12" t="s">
        <v>38</v>
      </c>
      <c r="N1676" s="12" t="s">
        <v>38</v>
      </c>
    </row>
    <row r="1677" spans="1:14">
      <c r="A1677" s="12" t="s">
        <v>10768</v>
      </c>
      <c r="B1677" s="8">
        <v>429.20691198985901</v>
      </c>
      <c r="C1677" s="12">
        <v>212.550620580209</v>
      </c>
      <c r="D1677" s="8">
        <v>1.01386683838888</v>
      </c>
      <c r="E1677" s="12">
        <v>7.8152608932719695E-3</v>
      </c>
      <c r="F1677" s="8" t="s">
        <v>4141</v>
      </c>
      <c r="G1677" s="12" t="s">
        <v>4142</v>
      </c>
      <c r="H1677" s="12">
        <v>1</v>
      </c>
      <c r="I1677" s="13" t="str">
        <f>HYPERLINK("http://www.ncbi.nlm.nih.gov/gene/55714", "55714")</f>
        <v>55714</v>
      </c>
      <c r="J1677" s="13" t="str">
        <f>HYPERLINK("http://www.ncbi.nlm.nih.gov/nuccore/NM_001080477", "NM_001080477")</f>
        <v>NM_001080477</v>
      </c>
      <c r="K1677" s="12" t="s">
        <v>4143</v>
      </c>
      <c r="L1677" s="13" t="str">
        <f>HYPERLINK("http://asia.ensembl.org/Homo_sapiens/Gene/Summary?g=ENSG00000218336", "ENSG00000218336")</f>
        <v>ENSG00000218336</v>
      </c>
      <c r="M1677" s="12" t="s">
        <v>15848</v>
      </c>
      <c r="N1677" s="12" t="s">
        <v>15849</v>
      </c>
    </row>
    <row r="1678" spans="1:14">
      <c r="A1678" s="12" t="s">
        <v>7458</v>
      </c>
      <c r="B1678" s="8">
        <v>21829.625880985001</v>
      </c>
      <c r="C1678" s="12">
        <v>10810.865717766301</v>
      </c>
      <c r="D1678" s="8">
        <v>1.0138053489080801</v>
      </c>
      <c r="E1678" s="12">
        <v>8.3500078363673708E-3</v>
      </c>
      <c r="F1678" s="8" t="s">
        <v>1174</v>
      </c>
      <c r="G1678" s="12" t="s">
        <v>1175</v>
      </c>
      <c r="H1678" s="12">
        <v>1</v>
      </c>
      <c r="I1678" s="13" t="str">
        <f>HYPERLINK("http://www.ncbi.nlm.nih.gov/gene/50808", "50808")</f>
        <v>50808</v>
      </c>
      <c r="J1678" s="12" t="s">
        <v>14431</v>
      </c>
      <c r="K1678" s="12" t="s">
        <v>14432</v>
      </c>
      <c r="L1678" s="13" t="str">
        <f>HYPERLINK("http://asia.ensembl.org/Homo_sapiens/Gene/Summary?g=ENSG00000147853", "ENSG00000147853")</f>
        <v>ENSG00000147853</v>
      </c>
      <c r="M1678" s="12" t="s">
        <v>14433</v>
      </c>
      <c r="N1678" s="12" t="s">
        <v>14434</v>
      </c>
    </row>
    <row r="1679" spans="1:14">
      <c r="A1679" s="12" t="s">
        <v>4720</v>
      </c>
      <c r="B1679" s="8">
        <v>1459.9668693920801</v>
      </c>
      <c r="C1679" s="12">
        <v>723.11338005553296</v>
      </c>
      <c r="D1679" s="8">
        <v>1.01364185443102</v>
      </c>
      <c r="E1679" s="12">
        <v>3.9952779314794701E-3</v>
      </c>
      <c r="F1679" s="8" t="s">
        <v>4721</v>
      </c>
      <c r="G1679" s="12" t="s">
        <v>13356</v>
      </c>
      <c r="H1679" s="12">
        <v>1</v>
      </c>
      <c r="I1679" s="13" t="str">
        <f>HYPERLINK("http://www.ncbi.nlm.nih.gov/gene/23556", "23556")</f>
        <v>23556</v>
      </c>
      <c r="J1679" s="12" t="s">
        <v>13357</v>
      </c>
      <c r="K1679" s="12" t="s">
        <v>13358</v>
      </c>
      <c r="L1679" s="13" t="str">
        <f>HYPERLINK("http://asia.ensembl.org/Homo_sapiens/Gene/Summary?g=ENSG00000197563", "ENSG00000197563")</f>
        <v>ENSG00000197563</v>
      </c>
      <c r="M1679" s="12" t="s">
        <v>13359</v>
      </c>
      <c r="N1679" s="12" t="s">
        <v>13360</v>
      </c>
    </row>
    <row r="1680" spans="1:14">
      <c r="A1680" s="12" t="s">
        <v>11463</v>
      </c>
      <c r="B1680" s="8">
        <v>565.14316020488002</v>
      </c>
      <c r="C1680" s="12">
        <v>279.93112611476198</v>
      </c>
      <c r="D1680" s="8">
        <v>1.01354446053851</v>
      </c>
      <c r="E1680" s="12">
        <v>4.0655600881845701E-2</v>
      </c>
      <c r="F1680" s="8" t="s">
        <v>11464</v>
      </c>
      <c r="G1680" s="12" t="s">
        <v>16143</v>
      </c>
      <c r="H1680" s="12">
        <v>1</v>
      </c>
      <c r="I1680" s="13" t="str">
        <f>HYPERLINK("http://www.ncbi.nlm.nih.gov/gene/440278", "440278")</f>
        <v>440278</v>
      </c>
      <c r="J1680" s="13" t="str">
        <f>HYPERLINK("http://www.ncbi.nlm.nih.gov/nuccore/NR_002318", "NR_002318")</f>
        <v>NR_002318</v>
      </c>
      <c r="K1680" s="12" t="s">
        <v>199</v>
      </c>
      <c r="L1680" s="13" t="str">
        <f>HYPERLINK("http://asia.ensembl.org/Homo_sapiens/Gene/Summary?g=ENSG00000205771", "ENSG00000205771")</f>
        <v>ENSG00000205771</v>
      </c>
      <c r="M1680" s="12" t="s">
        <v>16144</v>
      </c>
    </row>
    <row r="1681" spans="1:14">
      <c r="A1681" s="12" t="s">
        <v>7461</v>
      </c>
      <c r="B1681" s="8">
        <v>10748.018930512701</v>
      </c>
      <c r="C1681" s="12">
        <v>5324.2137081478704</v>
      </c>
      <c r="D1681" s="8">
        <v>1.01343038175376</v>
      </c>
      <c r="E1681" s="12">
        <v>2.6895800022832001E-3</v>
      </c>
      <c r="F1681" s="8" t="s">
        <v>7462</v>
      </c>
      <c r="G1681" s="12" t="s">
        <v>7463</v>
      </c>
      <c r="H1681" s="12">
        <v>1</v>
      </c>
      <c r="I1681" s="13" t="str">
        <f>HYPERLINK("http://www.ncbi.nlm.nih.gov/gene/80829", "80829")</f>
        <v>80829</v>
      </c>
      <c r="J1681" s="12" t="s">
        <v>14439</v>
      </c>
      <c r="K1681" s="12" t="s">
        <v>14440</v>
      </c>
      <c r="L1681" s="13" t="str">
        <f>HYPERLINK("http://asia.ensembl.org/Homo_sapiens/Gene/Summary?g=ENSG00000186660", "ENSG00000186660")</f>
        <v>ENSG00000186660</v>
      </c>
      <c r="M1681" s="12" t="s">
        <v>7464</v>
      </c>
      <c r="N1681" s="12" t="s">
        <v>7465</v>
      </c>
    </row>
    <row r="1682" spans="1:14">
      <c r="A1682" s="12" t="s">
        <v>11252</v>
      </c>
      <c r="B1682" s="8">
        <v>1092.73026841192</v>
      </c>
      <c r="C1682" s="12">
        <v>541.41617867880097</v>
      </c>
      <c r="D1682" s="8">
        <v>1.0131274232688201</v>
      </c>
      <c r="E1682" s="12">
        <v>5.3372925901062898E-3</v>
      </c>
      <c r="F1682" s="8" t="s">
        <v>6507</v>
      </c>
      <c r="G1682" s="12" t="s">
        <v>6508</v>
      </c>
      <c r="H1682" s="12">
        <v>1</v>
      </c>
      <c r="I1682" s="13" t="str">
        <f>HYPERLINK("http://www.ncbi.nlm.nih.gov/gene/5366", "5366")</f>
        <v>5366</v>
      </c>
      <c r="J1682" s="13" t="str">
        <f>HYPERLINK("http://www.ncbi.nlm.nih.gov/nuccore/NM_021127", "NM_021127")</f>
        <v>NM_021127</v>
      </c>
      <c r="K1682" s="12" t="s">
        <v>6509</v>
      </c>
      <c r="L1682" s="13" t="str">
        <f>HYPERLINK("http://asia.ensembl.org/Homo_sapiens/Gene/Summary?g=ENSG00000141682", "ENSG00000141682")</f>
        <v>ENSG00000141682</v>
      </c>
      <c r="M1682" s="12" t="s">
        <v>16063</v>
      </c>
      <c r="N1682" s="12" t="s">
        <v>16064</v>
      </c>
    </row>
    <row r="1683" spans="1:14">
      <c r="A1683" s="12" t="s">
        <v>10681</v>
      </c>
      <c r="B1683" s="8">
        <v>667.55868583177596</v>
      </c>
      <c r="C1683" s="12">
        <v>330.78443197496199</v>
      </c>
      <c r="D1683" s="8">
        <v>1.0130033341460301</v>
      </c>
      <c r="E1683" s="12">
        <v>2.87885126056076E-3</v>
      </c>
      <c r="F1683" s="8" t="s">
        <v>2304</v>
      </c>
      <c r="G1683" s="12" t="s">
        <v>2305</v>
      </c>
      <c r="H1683" s="12">
        <v>1</v>
      </c>
      <c r="I1683" s="13" t="str">
        <f>HYPERLINK("http://www.ncbi.nlm.nih.gov/gene/166378", "166378")</f>
        <v>166378</v>
      </c>
      <c r="J1683" s="13" t="str">
        <f>HYPERLINK("http://www.ncbi.nlm.nih.gov/nuccore/NM_145207", "NM_145207")</f>
        <v>NM_145207</v>
      </c>
      <c r="K1683" s="12" t="s">
        <v>2306</v>
      </c>
      <c r="L1683" s="13" t="str">
        <f>HYPERLINK("http://asia.ensembl.org/Homo_sapiens/Gene/Summary?g=ENSG00000145375", "ENSG00000145375")</f>
        <v>ENSG00000145375</v>
      </c>
      <c r="M1683" s="12" t="s">
        <v>15706</v>
      </c>
      <c r="N1683" s="12" t="s">
        <v>2307</v>
      </c>
    </row>
    <row r="1684" spans="1:14">
      <c r="A1684" s="12" t="s">
        <v>407</v>
      </c>
      <c r="B1684" s="8">
        <v>591.40133033799805</v>
      </c>
      <c r="C1684" s="12">
        <v>293.08051584613497</v>
      </c>
      <c r="D1684" s="8">
        <v>1.01284042870158</v>
      </c>
      <c r="E1684" s="12">
        <v>3.0394804379234E-3</v>
      </c>
      <c r="F1684" s="8" t="s">
        <v>408</v>
      </c>
      <c r="G1684" s="12" t="s">
        <v>409</v>
      </c>
      <c r="H1684" s="12">
        <v>1</v>
      </c>
      <c r="I1684" s="13" t="str">
        <f>HYPERLINK("http://www.ncbi.nlm.nih.gov/gene/57162", "57162")</f>
        <v>57162</v>
      </c>
      <c r="J1684" s="13" t="str">
        <f>HYPERLINK("http://www.ncbi.nlm.nih.gov/nuccore/NM_020651", "NM_020651")</f>
        <v>NM_020651</v>
      </c>
      <c r="K1684" s="12" t="s">
        <v>410</v>
      </c>
      <c r="L1684" s="13" t="str">
        <f>HYPERLINK("http://asia.ensembl.org/Homo_sapiens/Gene/Summary?g=ENSG00000197329", "ENSG00000197329")</f>
        <v>ENSG00000197329</v>
      </c>
      <c r="M1684" s="12" t="s">
        <v>11974</v>
      </c>
      <c r="N1684" s="12" t="s">
        <v>411</v>
      </c>
    </row>
    <row r="1685" spans="1:14">
      <c r="A1685" s="12" t="s">
        <v>10720</v>
      </c>
      <c r="B1685" s="8">
        <v>246.36331006832501</v>
      </c>
      <c r="C1685" s="12">
        <v>122.10093867364</v>
      </c>
      <c r="D1685" s="8">
        <v>1.01271312570241</v>
      </c>
      <c r="E1685" s="12">
        <v>4.8829751604341998E-2</v>
      </c>
      <c r="F1685" s="8" t="s">
        <v>7134</v>
      </c>
      <c r="G1685" s="12" t="s">
        <v>7135</v>
      </c>
      <c r="H1685" s="12">
        <v>1</v>
      </c>
      <c r="I1685" s="13" t="str">
        <f>HYPERLINK("http://www.ncbi.nlm.nih.gov/gene/166929", "166929")</f>
        <v>166929</v>
      </c>
      <c r="J1685" s="12" t="s">
        <v>15763</v>
      </c>
      <c r="K1685" s="12" t="s">
        <v>15764</v>
      </c>
      <c r="L1685" s="13" t="str">
        <f>HYPERLINK("http://asia.ensembl.org/Homo_sapiens/Gene/Summary?g=ENSG00000164023", "ENSG00000164023")</f>
        <v>ENSG00000164023</v>
      </c>
      <c r="M1685" s="12" t="s">
        <v>15765</v>
      </c>
      <c r="N1685" s="12" t="s">
        <v>15766</v>
      </c>
    </row>
    <row r="1686" spans="1:14">
      <c r="A1686" s="12" t="s">
        <v>5499</v>
      </c>
      <c r="B1686" s="8">
        <v>103.23336599853199</v>
      </c>
      <c r="C1686" s="12">
        <v>51.174500661363702</v>
      </c>
      <c r="D1686" s="8">
        <v>1.0124123135544101</v>
      </c>
      <c r="E1686" s="12">
        <v>6.7943109750876298E-4</v>
      </c>
      <c r="F1686" s="8" t="s">
        <v>5500</v>
      </c>
      <c r="G1686" s="12" t="s">
        <v>13791</v>
      </c>
      <c r="H1686" s="12">
        <v>1</v>
      </c>
      <c r="I1686" s="13" t="str">
        <f>HYPERLINK("http://www.ncbi.nlm.nih.gov/gene/133746", "133746")</f>
        <v>133746</v>
      </c>
      <c r="J1686" s="13" t="str">
        <f>HYPERLINK("http://www.ncbi.nlm.nih.gov/nuccore/NM_152405", "NM_152405")</f>
        <v>NM_152405</v>
      </c>
      <c r="K1686" s="12" t="s">
        <v>5501</v>
      </c>
      <c r="L1686" s="13" t="str">
        <f>HYPERLINK("http://asia.ensembl.org/Homo_sapiens/Gene/Summary?g=ENSG00000152409", "ENSG00000152409")</f>
        <v>ENSG00000152409</v>
      </c>
      <c r="M1686" s="12" t="s">
        <v>13792</v>
      </c>
      <c r="N1686" s="12" t="s">
        <v>5502</v>
      </c>
    </row>
    <row r="1687" spans="1:14">
      <c r="A1687" s="12" t="s">
        <v>8825</v>
      </c>
      <c r="B1687" s="8">
        <v>309.32561776497403</v>
      </c>
      <c r="C1687" s="12">
        <v>153.346191897279</v>
      </c>
      <c r="D1687" s="8">
        <v>1.0123339795906401</v>
      </c>
      <c r="E1687" s="12">
        <v>1.5824765361805701E-2</v>
      </c>
      <c r="F1687" s="8" t="s">
        <v>2420</v>
      </c>
      <c r="G1687" s="12" t="s">
        <v>2421</v>
      </c>
      <c r="H1687" s="12">
        <v>1</v>
      </c>
      <c r="I1687" s="13" t="str">
        <f>HYPERLINK("http://www.ncbi.nlm.nih.gov/gene/55275", "55275")</f>
        <v>55275</v>
      </c>
      <c r="J1687" s="13" t="str">
        <f>HYPERLINK("http://www.ncbi.nlm.nih.gov/nuccore/NM_001128159", "NM_001128159")</f>
        <v>NM_001128159</v>
      </c>
      <c r="K1687" s="12" t="s">
        <v>8826</v>
      </c>
      <c r="L1687" s="13" t="str">
        <f>HYPERLINK("http://asia.ensembl.org/Homo_sapiens/Gene/Summary?g=ENSG00000141252", "ENSG00000141252")</f>
        <v>ENSG00000141252</v>
      </c>
      <c r="M1687" s="12" t="s">
        <v>14908</v>
      </c>
      <c r="N1687" s="12" t="s">
        <v>14909</v>
      </c>
    </row>
    <row r="1688" spans="1:14">
      <c r="A1688" s="12" t="s">
        <v>10497</v>
      </c>
      <c r="B1688" s="8">
        <v>521.22301654399496</v>
      </c>
      <c r="C1688" s="12">
        <v>258.430003979037</v>
      </c>
      <c r="D1688" s="8">
        <v>1.01212721480972</v>
      </c>
      <c r="E1688" s="12">
        <v>5.86565030028519E-3</v>
      </c>
      <c r="F1688" s="8" t="s">
        <v>4428</v>
      </c>
      <c r="G1688" s="12" t="s">
        <v>15475</v>
      </c>
      <c r="H1688" s="12">
        <v>1</v>
      </c>
      <c r="I1688" s="13" t="str">
        <f>HYPERLINK("http://www.ncbi.nlm.nih.gov/gene/5562", "5562")</f>
        <v>5562</v>
      </c>
      <c r="J1688" s="12" t="s">
        <v>15476</v>
      </c>
      <c r="K1688" s="12" t="s">
        <v>15477</v>
      </c>
      <c r="L1688" s="13" t="str">
        <f>HYPERLINK("http://asia.ensembl.org/Homo_sapiens/Gene/Summary?g=ENSG00000132356", "ENSG00000132356")</f>
        <v>ENSG00000132356</v>
      </c>
      <c r="M1688" s="12" t="s">
        <v>15478</v>
      </c>
      <c r="N1688" s="12" t="s">
        <v>15479</v>
      </c>
    </row>
    <row r="1689" spans="1:14">
      <c r="A1689" s="12" t="s">
        <v>2976</v>
      </c>
      <c r="B1689" s="8">
        <v>3404.8090534888001</v>
      </c>
      <c r="C1689" s="12">
        <v>1688.41808063178</v>
      </c>
      <c r="D1689" s="8">
        <v>1.01190170835849</v>
      </c>
      <c r="E1689" s="12">
        <v>6.2400547989993598E-3</v>
      </c>
      <c r="F1689" s="8" t="s">
        <v>2977</v>
      </c>
      <c r="G1689" s="12" t="s">
        <v>12850</v>
      </c>
      <c r="H1689" s="12">
        <v>1</v>
      </c>
      <c r="I1689" s="13" t="str">
        <f>HYPERLINK("http://www.ncbi.nlm.nih.gov/gene/7803", "7803")</f>
        <v>7803</v>
      </c>
      <c r="J1689" s="13" t="str">
        <f>HYPERLINK("http://www.ncbi.nlm.nih.gov/nuccore/NM_003463", "NM_003463")</f>
        <v>NM_003463</v>
      </c>
      <c r="K1689" s="12" t="s">
        <v>2978</v>
      </c>
      <c r="L1689" s="13" t="str">
        <f>HYPERLINK("http://asia.ensembl.org/Homo_sapiens/Gene/Summary?g=ENSG00000112245", "ENSG00000112245")</f>
        <v>ENSG00000112245</v>
      </c>
      <c r="M1689" s="12" t="s">
        <v>12851</v>
      </c>
      <c r="N1689" s="12" t="s">
        <v>12852</v>
      </c>
    </row>
    <row r="1690" spans="1:14">
      <c r="A1690" s="12" t="s">
        <v>4740</v>
      </c>
      <c r="B1690" s="8">
        <v>415.54699302147299</v>
      </c>
      <c r="C1690" s="12">
        <v>206.09739761377801</v>
      </c>
      <c r="D1690" s="8">
        <v>1.01168534835798</v>
      </c>
      <c r="E1690" s="12">
        <v>3.9387767996776997E-3</v>
      </c>
      <c r="F1690" s="8" t="s">
        <v>4741</v>
      </c>
      <c r="G1690" s="12" t="s">
        <v>4742</v>
      </c>
      <c r="H1690" s="12">
        <v>1</v>
      </c>
      <c r="I1690" s="13" t="str">
        <f>HYPERLINK("http://www.ncbi.nlm.nih.gov/gene/10137", "10137")</f>
        <v>10137</v>
      </c>
      <c r="J1690" s="12" t="s">
        <v>13367</v>
      </c>
      <c r="K1690" s="12" t="s">
        <v>13368</v>
      </c>
      <c r="L1690" s="13" t="str">
        <f>HYPERLINK("http://asia.ensembl.org/Homo_sapiens/Gene/Summary?g=ENSG00000244462", "ENSG00000244462")</f>
        <v>ENSG00000244462</v>
      </c>
      <c r="M1690" s="12" t="s">
        <v>13369</v>
      </c>
      <c r="N1690" s="12" t="s">
        <v>13370</v>
      </c>
    </row>
    <row r="1691" spans="1:14">
      <c r="A1691" s="12" t="s">
        <v>5174</v>
      </c>
      <c r="B1691" s="8">
        <v>3292.7199854537298</v>
      </c>
      <c r="C1691" s="12">
        <v>1634.02926744509</v>
      </c>
      <c r="D1691" s="8">
        <v>1.01084600551324</v>
      </c>
      <c r="E1691" s="12">
        <v>4.0641345860323603E-3</v>
      </c>
      <c r="F1691" s="8" t="s">
        <v>5175</v>
      </c>
      <c r="G1691" s="12" t="s">
        <v>379</v>
      </c>
      <c r="H1691" s="12">
        <v>1</v>
      </c>
      <c r="I1691" s="13" t="str">
        <f>HYPERLINK("http://www.ncbi.nlm.nih.gov/gene/53339", "53339")</f>
        <v>53339</v>
      </c>
      <c r="J1691" s="12" t="s">
        <v>13619</v>
      </c>
      <c r="K1691" s="12" t="s">
        <v>13620</v>
      </c>
      <c r="L1691" s="13" t="str">
        <f>HYPERLINK("http://asia.ensembl.org/Homo_sapiens/Gene/Summary?g=ENSG00000064726", "ENSG00000064726")</f>
        <v>ENSG00000064726</v>
      </c>
      <c r="M1691" s="12" t="s">
        <v>13621</v>
      </c>
      <c r="N1691" s="12" t="s">
        <v>13622</v>
      </c>
    </row>
    <row r="1692" spans="1:14">
      <c r="A1692" s="12" t="s">
        <v>11221</v>
      </c>
      <c r="B1692" s="8">
        <v>9242.6029857706399</v>
      </c>
      <c r="C1692" s="12">
        <v>4586.78200917493</v>
      </c>
      <c r="D1692" s="8">
        <v>1.0108168700360001</v>
      </c>
      <c r="E1692" s="12">
        <v>4.8325528684904501E-3</v>
      </c>
      <c r="F1692" s="8" t="s">
        <v>38</v>
      </c>
      <c r="G1692" s="12" t="s">
        <v>38</v>
      </c>
      <c r="H1692" s="12">
        <v>1</v>
      </c>
      <c r="I1692" s="12" t="s">
        <v>38</v>
      </c>
      <c r="J1692" s="12" t="s">
        <v>38</v>
      </c>
      <c r="K1692" s="12" t="s">
        <v>38</v>
      </c>
      <c r="L1692" s="13" t="str">
        <f>HYPERLINK("http://asia.ensembl.org/Homo_sapiens/Gene/Summary?g=ENSG00000056586", "ENSG00000056586")</f>
        <v>ENSG00000056586</v>
      </c>
      <c r="M1692" s="12" t="s">
        <v>11222</v>
      </c>
      <c r="N1692" s="12" t="s">
        <v>16045</v>
      </c>
    </row>
    <row r="1693" spans="1:14">
      <c r="A1693" s="12" t="s">
        <v>10518</v>
      </c>
      <c r="B1693" s="8">
        <v>590.08516976773103</v>
      </c>
      <c r="C1693" s="12">
        <v>292.85037798901499</v>
      </c>
      <c r="D1693" s="8">
        <v>1.0107594438939</v>
      </c>
      <c r="E1693" s="12">
        <v>3.9913951345529096E-3</v>
      </c>
      <c r="F1693" s="8" t="s">
        <v>3434</v>
      </c>
      <c r="G1693" s="12" t="s">
        <v>12980</v>
      </c>
      <c r="H1693" s="12">
        <v>1</v>
      </c>
      <c r="I1693" s="13" t="str">
        <f>HYPERLINK("http://www.ncbi.nlm.nih.gov/gene/163882", "163882")</f>
        <v>163882</v>
      </c>
      <c r="J1693" s="13" t="str">
        <f>HYPERLINK("http://www.ncbi.nlm.nih.gov/nuccore/NM_152609", "NM_152609")</f>
        <v>NM_152609</v>
      </c>
      <c r="K1693" s="12" t="s">
        <v>3435</v>
      </c>
      <c r="L1693" s="13" t="str">
        <f>HYPERLINK("http://asia.ensembl.org/Homo_sapiens/Gene/Summary?g=ENSG00000162852", "ENSG00000162852")</f>
        <v>ENSG00000162852</v>
      </c>
      <c r="M1693" s="12" t="s">
        <v>12981</v>
      </c>
      <c r="N1693" s="12" t="s">
        <v>12982</v>
      </c>
    </row>
    <row r="1694" spans="1:14">
      <c r="A1694" s="12" t="s">
        <v>4515</v>
      </c>
      <c r="B1694" s="8">
        <v>1148.5016690919099</v>
      </c>
      <c r="C1694" s="12">
        <v>570.02945449823801</v>
      </c>
      <c r="D1694" s="8">
        <v>1.01064458026103</v>
      </c>
      <c r="E1694" s="12">
        <v>4.9834331772988898E-3</v>
      </c>
      <c r="F1694" s="8" t="s">
        <v>4516</v>
      </c>
      <c r="G1694" s="12" t="s">
        <v>13267</v>
      </c>
      <c r="H1694" s="12">
        <v>1</v>
      </c>
      <c r="I1694" s="13" t="str">
        <f>HYPERLINK("http://www.ncbi.nlm.nih.gov/gene/51132", "51132")</f>
        <v>51132</v>
      </c>
      <c r="J1694" s="12" t="s">
        <v>13268</v>
      </c>
      <c r="K1694" s="12" t="s">
        <v>13269</v>
      </c>
      <c r="L1694" s="13" t="str">
        <f>HYPERLINK("http://asia.ensembl.org/Homo_sapiens/Gene/Summary?g=ENSG00000131263", "ENSG00000131263")</f>
        <v>ENSG00000131263</v>
      </c>
      <c r="M1694" s="12" t="s">
        <v>13270</v>
      </c>
      <c r="N1694" s="12" t="s">
        <v>13271</v>
      </c>
    </row>
    <row r="1695" spans="1:14">
      <c r="A1695" s="12" t="s">
        <v>10182</v>
      </c>
      <c r="B1695" s="8">
        <v>189.13450760076299</v>
      </c>
      <c r="C1695" s="12">
        <v>93.886084773206306</v>
      </c>
      <c r="D1695" s="8">
        <v>1.01042935577214</v>
      </c>
      <c r="E1695" s="12">
        <v>1.20886618908582E-2</v>
      </c>
      <c r="F1695" s="8" t="s">
        <v>10183</v>
      </c>
      <c r="G1695" s="12" t="s">
        <v>10184</v>
      </c>
      <c r="H1695" s="12">
        <v>1</v>
      </c>
      <c r="I1695" s="13" t="str">
        <f>HYPERLINK("http://www.ncbi.nlm.nih.gov/gene/246744", "246744")</f>
        <v>246744</v>
      </c>
      <c r="J1695" s="13" t="str">
        <f>HYPERLINK("http://www.ncbi.nlm.nih.gov/nuccore/NM_001007532", "NM_001007532")</f>
        <v>NM_001007532</v>
      </c>
      <c r="K1695" s="12" t="s">
        <v>10185</v>
      </c>
      <c r="L1695" s="13" t="str">
        <f>HYPERLINK("http://asia.ensembl.org/Homo_sapiens/Gene/Summary?g=ENSG00000256762", "ENSG00000256762")</f>
        <v>ENSG00000256762</v>
      </c>
      <c r="M1695" s="12" t="s">
        <v>10186</v>
      </c>
      <c r="N1695" s="12" t="s">
        <v>10187</v>
      </c>
    </row>
    <row r="1696" spans="1:14">
      <c r="A1696" s="12" t="s">
        <v>5832</v>
      </c>
      <c r="B1696" s="8">
        <v>22984.638856408499</v>
      </c>
      <c r="C1696" s="12">
        <v>11415.2402379825</v>
      </c>
      <c r="D1696" s="8">
        <v>1.0097087762102199</v>
      </c>
      <c r="E1696" s="12">
        <v>7.7892953208400202E-3</v>
      </c>
      <c r="F1696" s="8" t="s">
        <v>5833</v>
      </c>
      <c r="G1696" s="12" t="s">
        <v>5834</v>
      </c>
      <c r="H1696" s="12">
        <v>1</v>
      </c>
      <c r="I1696" s="13" t="str">
        <f>HYPERLINK("http://www.ncbi.nlm.nih.gov/gene/5747", "5747")</f>
        <v>5747</v>
      </c>
      <c r="J1696" s="12" t="s">
        <v>13925</v>
      </c>
      <c r="K1696" s="12" t="s">
        <v>13926</v>
      </c>
      <c r="L1696" s="13" t="str">
        <f>HYPERLINK("http://asia.ensembl.org/Homo_sapiens/Gene/Summary?g=ENSG00000169398", "ENSG00000169398")</f>
        <v>ENSG00000169398</v>
      </c>
      <c r="M1696" s="12" t="s">
        <v>13927</v>
      </c>
      <c r="N1696" s="12" t="s">
        <v>13928</v>
      </c>
    </row>
    <row r="1697" spans="1:14">
      <c r="A1697" s="12" t="s">
        <v>10638</v>
      </c>
      <c r="B1697" s="8">
        <v>2100.9684268971801</v>
      </c>
      <c r="C1697" s="12">
        <v>1043.70981193434</v>
      </c>
      <c r="D1697" s="8">
        <v>1.00933383386807</v>
      </c>
      <c r="E1697" s="12">
        <v>7.9189900742673604E-3</v>
      </c>
      <c r="F1697" s="8" t="s">
        <v>7349</v>
      </c>
      <c r="G1697" s="12" t="s">
        <v>7350</v>
      </c>
      <c r="H1697" s="12">
        <v>1</v>
      </c>
      <c r="I1697" s="13" t="str">
        <f>HYPERLINK("http://www.ncbi.nlm.nih.gov/gene/9069", "9069")</f>
        <v>9069</v>
      </c>
      <c r="J1697" s="12" t="s">
        <v>15654</v>
      </c>
      <c r="K1697" s="12" t="s">
        <v>15655</v>
      </c>
      <c r="L1697" s="13" t="str">
        <f>HYPERLINK("http://asia.ensembl.org/Homo_sapiens/Gene/Summary?g=ENSG00000157224", "ENSG00000157224")</f>
        <v>ENSG00000157224</v>
      </c>
      <c r="M1697" s="12" t="s">
        <v>15656</v>
      </c>
      <c r="N1697" s="12" t="s">
        <v>15657</v>
      </c>
    </row>
    <row r="1698" spans="1:14">
      <c r="A1698" s="12" t="s">
        <v>10490</v>
      </c>
      <c r="B1698" s="8">
        <v>23510.415855730898</v>
      </c>
      <c r="C1698" s="12">
        <v>11679.818411640899</v>
      </c>
      <c r="D1698" s="8">
        <v>1.0092822132829999</v>
      </c>
      <c r="E1698" s="12">
        <v>1.5836743930665701E-2</v>
      </c>
      <c r="F1698" s="8" t="s">
        <v>8146</v>
      </c>
      <c r="G1698" s="12" t="s">
        <v>8147</v>
      </c>
      <c r="H1698" s="12">
        <v>1</v>
      </c>
      <c r="I1698" s="13" t="str">
        <f>HYPERLINK("http://www.ncbi.nlm.nih.gov/gene/10097", "10097")</f>
        <v>10097</v>
      </c>
      <c r="J1698" s="12" t="s">
        <v>15471</v>
      </c>
      <c r="K1698" s="12" t="s">
        <v>15472</v>
      </c>
      <c r="L1698" s="13" t="str">
        <f>HYPERLINK("http://asia.ensembl.org/Homo_sapiens/Gene/Summary?g=ENSG00000138071", "ENSG00000138071")</f>
        <v>ENSG00000138071</v>
      </c>
      <c r="M1698" s="12" t="s">
        <v>15473</v>
      </c>
      <c r="N1698" s="12" t="s">
        <v>15474</v>
      </c>
    </row>
    <row r="1699" spans="1:14">
      <c r="A1699" s="12" t="s">
        <v>6126</v>
      </c>
      <c r="B1699" s="8">
        <v>1879.19962917871</v>
      </c>
      <c r="C1699" s="12">
        <v>933.74186818554801</v>
      </c>
      <c r="D1699" s="8">
        <v>1.0090226549168699</v>
      </c>
      <c r="E1699" s="12">
        <v>2.97405905028123E-3</v>
      </c>
      <c r="F1699" s="8" t="s">
        <v>6127</v>
      </c>
      <c r="G1699" s="12" t="s">
        <v>6128</v>
      </c>
      <c r="H1699" s="12">
        <v>1</v>
      </c>
      <c r="I1699" s="13" t="str">
        <f>HYPERLINK("http://www.ncbi.nlm.nih.gov/gene/23196", "23196")</f>
        <v>23196</v>
      </c>
      <c r="J1699" s="13" t="str">
        <f>HYPERLINK("http://www.ncbi.nlm.nih.gov/nuccore/NM_014612", "NM_014612")</f>
        <v>NM_014612</v>
      </c>
      <c r="K1699" s="12" t="s">
        <v>6129</v>
      </c>
      <c r="L1699" s="13" t="str">
        <f>HYPERLINK("http://asia.ensembl.org/Homo_sapiens/Gene/Summary?g=ENSG00000048828", "ENSG00000048828")</f>
        <v>ENSG00000048828</v>
      </c>
      <c r="M1699" s="12" t="s">
        <v>14062</v>
      </c>
      <c r="N1699" s="12" t="s">
        <v>14063</v>
      </c>
    </row>
    <row r="1700" spans="1:14">
      <c r="A1700" s="12" t="s">
        <v>4387</v>
      </c>
      <c r="B1700" s="8">
        <v>1596.6944245709401</v>
      </c>
      <c r="C1700" s="12">
        <v>793.436239754957</v>
      </c>
      <c r="D1700" s="8">
        <v>1.00890203775686</v>
      </c>
      <c r="E1700" s="12">
        <v>1.8813692128702E-2</v>
      </c>
      <c r="F1700" s="8" t="s">
        <v>4388</v>
      </c>
      <c r="G1700" s="12" t="s">
        <v>4389</v>
      </c>
      <c r="H1700" s="12">
        <v>1</v>
      </c>
      <c r="I1700" s="13" t="str">
        <f>HYPERLINK("http://www.ncbi.nlm.nih.gov/gene/51377", "51377")</f>
        <v>51377</v>
      </c>
      <c r="J1700" s="12" t="s">
        <v>13221</v>
      </c>
      <c r="K1700" s="12" t="s">
        <v>13222</v>
      </c>
      <c r="L1700" s="13" t="str">
        <f>HYPERLINK("http://asia.ensembl.org/Homo_sapiens/Gene/Summary?g=ENSG00000116750", "ENSG00000116750")</f>
        <v>ENSG00000116750</v>
      </c>
      <c r="M1700" s="12" t="s">
        <v>13223</v>
      </c>
      <c r="N1700" s="12" t="s">
        <v>13224</v>
      </c>
    </row>
    <row r="1701" spans="1:14">
      <c r="A1701" s="12" t="s">
        <v>10521</v>
      </c>
      <c r="B1701" s="8">
        <v>280.95336994424702</v>
      </c>
      <c r="C1701" s="12">
        <v>139.618641864616</v>
      </c>
      <c r="D1701" s="8">
        <v>1.00883912218294</v>
      </c>
      <c r="E1701" s="12">
        <v>1.12351540550666E-2</v>
      </c>
      <c r="F1701" s="8" t="s">
        <v>1954</v>
      </c>
      <c r="G1701" s="12" t="s">
        <v>15521</v>
      </c>
      <c r="H1701" s="12">
        <v>1</v>
      </c>
      <c r="I1701" s="13" t="str">
        <f>HYPERLINK("http://www.ncbi.nlm.nih.gov/gene/4301", "4301")</f>
        <v>4301</v>
      </c>
      <c r="J1701" s="13" t="str">
        <f>HYPERLINK("http://www.ncbi.nlm.nih.gov/nuccore/NM_001040000", "NM_001040000")</f>
        <v>NM_001040000</v>
      </c>
      <c r="K1701" s="12" t="s">
        <v>10522</v>
      </c>
      <c r="L1701" s="13" t="str">
        <f>HYPERLINK("http://asia.ensembl.org/Homo_sapiens/Gene/Summary?g=ENSG00000130396", "ENSG00000130396")</f>
        <v>ENSG00000130396</v>
      </c>
      <c r="M1701" s="12" t="s">
        <v>15522</v>
      </c>
      <c r="N1701" s="12" t="s">
        <v>15523</v>
      </c>
    </row>
    <row r="1702" spans="1:14">
      <c r="A1702" s="12" t="s">
        <v>11375</v>
      </c>
      <c r="B1702" s="8">
        <v>1565.19127008235</v>
      </c>
      <c r="C1702" s="12">
        <v>777.88087630586404</v>
      </c>
      <c r="D1702" s="8">
        <v>1.0087178239397301</v>
      </c>
      <c r="E1702" s="12">
        <v>2.5804975203352898E-3</v>
      </c>
      <c r="F1702" s="8" t="s">
        <v>11354</v>
      </c>
      <c r="G1702" s="12" t="s">
        <v>11355</v>
      </c>
      <c r="H1702" s="12">
        <v>4</v>
      </c>
      <c r="I1702" s="12" t="s">
        <v>11356</v>
      </c>
      <c r="J1702" s="12" t="s">
        <v>11357</v>
      </c>
      <c r="K1702" s="12" t="s">
        <v>11358</v>
      </c>
      <c r="L1702" s="12" t="s">
        <v>11359</v>
      </c>
      <c r="M1702" s="12" t="s">
        <v>16124</v>
      </c>
      <c r="N1702" s="12" t="s">
        <v>16125</v>
      </c>
    </row>
    <row r="1703" spans="1:14">
      <c r="A1703" s="12" t="s">
        <v>10702</v>
      </c>
      <c r="B1703" s="8">
        <v>1286.4071378603501</v>
      </c>
      <c r="C1703" s="12">
        <v>639.44406416619097</v>
      </c>
      <c r="D1703" s="8">
        <v>1.0084572477606999</v>
      </c>
      <c r="E1703" s="12">
        <v>8.6289774741979896E-4</v>
      </c>
      <c r="F1703" s="8" t="s">
        <v>359</v>
      </c>
      <c r="G1703" s="12" t="s">
        <v>360</v>
      </c>
      <c r="H1703" s="12">
        <v>1</v>
      </c>
      <c r="I1703" s="13" t="str">
        <f>HYPERLINK("http://www.ncbi.nlm.nih.gov/gene/51141", "51141")</f>
        <v>51141</v>
      </c>
      <c r="J1703" s="13" t="str">
        <f>HYPERLINK("http://www.ncbi.nlm.nih.gov/nuccore/NM_016133", "NM_016133")</f>
        <v>NM_016133</v>
      </c>
      <c r="K1703" s="12" t="s">
        <v>361</v>
      </c>
      <c r="L1703" s="13" t="str">
        <f>HYPERLINK("http://asia.ensembl.org/Homo_sapiens/Gene/Summary?g=ENSG00000125629", "ENSG00000125629")</f>
        <v>ENSG00000125629</v>
      </c>
      <c r="M1703" s="12" t="s">
        <v>15737</v>
      </c>
      <c r="N1703" s="12" t="s">
        <v>15738</v>
      </c>
    </row>
    <row r="1704" spans="1:14">
      <c r="A1704" s="12" t="s">
        <v>10779</v>
      </c>
      <c r="B1704" s="8">
        <v>100.51197180767799</v>
      </c>
      <c r="C1704" s="12">
        <v>50</v>
      </c>
      <c r="D1704" s="8">
        <v>1.0073673485576999</v>
      </c>
      <c r="E1704" s="12">
        <v>5.4209568390376503E-3</v>
      </c>
      <c r="F1704" s="8" t="s">
        <v>7880</v>
      </c>
      <c r="G1704" s="12" t="s">
        <v>7881</v>
      </c>
      <c r="H1704" s="12">
        <v>1</v>
      </c>
      <c r="I1704" s="13" t="str">
        <f>HYPERLINK("http://www.ncbi.nlm.nih.gov/gene/222611", "222611")</f>
        <v>222611</v>
      </c>
      <c r="J1704" s="13" t="str">
        <f>HYPERLINK("http://www.ncbi.nlm.nih.gov/nuccore/NM_153839", "NM_153839")</f>
        <v>NM_153839</v>
      </c>
      <c r="K1704" s="12" t="s">
        <v>7882</v>
      </c>
      <c r="L1704" s="13" t="str">
        <f>HYPERLINK("http://asia.ensembl.org/Homo_sapiens/Gene/Summary?g=ENSG00000164393", "ENSG00000164393")</f>
        <v>ENSG00000164393</v>
      </c>
      <c r="M1704" s="12" t="s">
        <v>15863</v>
      </c>
      <c r="N1704" s="12" t="s">
        <v>15864</v>
      </c>
    </row>
    <row r="1705" spans="1:14">
      <c r="A1705" s="12" t="s">
        <v>4786</v>
      </c>
      <c r="B1705" s="8">
        <v>835.25463105295296</v>
      </c>
      <c r="C1705" s="12">
        <v>415.567172434773</v>
      </c>
      <c r="D1705" s="8">
        <v>1.0071343829605699</v>
      </c>
      <c r="E1705" s="12">
        <v>7.8094982469824803E-3</v>
      </c>
      <c r="F1705" s="8" t="s">
        <v>4787</v>
      </c>
      <c r="G1705" s="12" t="s">
        <v>13386</v>
      </c>
      <c r="H1705" s="12">
        <v>1</v>
      </c>
      <c r="I1705" s="13" t="str">
        <f>HYPERLINK("http://www.ncbi.nlm.nih.gov/gene/79811", "79811")</f>
        <v>79811</v>
      </c>
      <c r="J1705" s="12" t="s">
        <v>13387</v>
      </c>
      <c r="K1705" s="12" t="s">
        <v>13388</v>
      </c>
      <c r="L1705" s="13" t="str">
        <f>HYPERLINK("http://asia.ensembl.org/Homo_sapiens/Gene/Summary?g=ENSG00000137776", "ENSG00000137776")</f>
        <v>ENSG00000137776</v>
      </c>
      <c r="M1705" s="12" t="s">
        <v>13389</v>
      </c>
      <c r="N1705" s="12" t="s">
        <v>13390</v>
      </c>
    </row>
    <row r="1706" spans="1:14">
      <c r="A1706" s="12" t="s">
        <v>2254</v>
      </c>
      <c r="B1706" s="8">
        <v>535.41792429893496</v>
      </c>
      <c r="C1706" s="12">
        <v>266.45930438202799</v>
      </c>
      <c r="D1706" s="8">
        <v>1.00675022634594</v>
      </c>
      <c r="E1706" s="12">
        <v>2.1424689570004801E-2</v>
      </c>
      <c r="F1706" s="8" t="s">
        <v>2255</v>
      </c>
      <c r="G1706" s="12" t="s">
        <v>2256</v>
      </c>
      <c r="H1706" s="12">
        <v>1</v>
      </c>
      <c r="I1706" s="13" t="str">
        <f>HYPERLINK("http://www.ncbi.nlm.nih.gov/gene/157657", "157657")</f>
        <v>157657</v>
      </c>
      <c r="J1706" s="13" t="str">
        <f>HYPERLINK("http://www.ncbi.nlm.nih.gov/nuccore/NM_177965", "NM_177965")</f>
        <v>NM_177965</v>
      </c>
      <c r="K1706" s="12" t="s">
        <v>2257</v>
      </c>
      <c r="L1706" s="13" t="str">
        <f>HYPERLINK("http://asia.ensembl.org/Homo_sapiens/Gene/Summary?g=ENSG00000156172", "ENSG00000156172")</f>
        <v>ENSG00000156172</v>
      </c>
      <c r="M1706" s="12" t="s">
        <v>2258</v>
      </c>
      <c r="N1706" s="12" t="s">
        <v>2259</v>
      </c>
    </row>
    <row r="1707" spans="1:14">
      <c r="A1707" s="12" t="s">
        <v>9468</v>
      </c>
      <c r="B1707" s="8">
        <v>462.85008171101202</v>
      </c>
      <c r="C1707" s="12">
        <v>230.42517886263801</v>
      </c>
      <c r="D1707" s="8">
        <v>1.0062466060669699</v>
      </c>
      <c r="E1707" s="12">
        <v>7.9068638820185295E-3</v>
      </c>
      <c r="F1707" s="8" t="s">
        <v>9469</v>
      </c>
      <c r="G1707" s="12" t="s">
        <v>9470</v>
      </c>
      <c r="H1707" s="12">
        <v>1</v>
      </c>
      <c r="I1707" s="13" t="str">
        <f>HYPERLINK("http://www.ncbi.nlm.nih.gov/gene/284992", "284992")</f>
        <v>284992</v>
      </c>
      <c r="J1707" s="13" t="str">
        <f>HYPERLINK("http://www.ncbi.nlm.nih.gov/nuccore/NM_001080539", "NM_001080539")</f>
        <v>NM_001080539</v>
      </c>
      <c r="K1707" s="12" t="s">
        <v>9471</v>
      </c>
      <c r="L1707" s="13" t="str">
        <f>HYPERLINK("http://asia.ensembl.org/Homo_sapiens/Gene/Summary?g=ENSG00000144395", "ENSG00000144395")</f>
        <v>ENSG00000144395</v>
      </c>
      <c r="M1707" s="12" t="s">
        <v>15039</v>
      </c>
      <c r="N1707" s="12" t="s">
        <v>15040</v>
      </c>
    </row>
    <row r="1708" spans="1:14">
      <c r="A1708" s="12" t="s">
        <v>10666</v>
      </c>
      <c r="B1708" s="8">
        <v>707.32939624418304</v>
      </c>
      <c r="C1708" s="12">
        <v>352.15218124847303</v>
      </c>
      <c r="D1708" s="8">
        <v>1.0061832013282701</v>
      </c>
      <c r="E1708" s="12">
        <v>3.2222585236778502E-3</v>
      </c>
      <c r="F1708" s="8" t="s">
        <v>6353</v>
      </c>
      <c r="G1708" s="12" t="s">
        <v>6354</v>
      </c>
      <c r="H1708" s="12">
        <v>1</v>
      </c>
      <c r="I1708" s="13" t="str">
        <f>HYPERLINK("http://www.ncbi.nlm.nih.gov/gene/140609", "140609")</f>
        <v>140609</v>
      </c>
      <c r="J1708" s="13" t="str">
        <f>HYPERLINK("http://www.ncbi.nlm.nih.gov/nuccore/NM_133494", "NM_133494")</f>
        <v>NM_133494</v>
      </c>
      <c r="K1708" s="12" t="s">
        <v>6355</v>
      </c>
      <c r="L1708" s="13" t="str">
        <f>HYPERLINK("http://asia.ensembl.org/Homo_sapiens/Gene/Summary?g=ENSG00000151414", "ENSG00000151414")</f>
        <v>ENSG00000151414</v>
      </c>
      <c r="M1708" s="12" t="s">
        <v>15686</v>
      </c>
      <c r="N1708" s="12" t="s">
        <v>15687</v>
      </c>
    </row>
    <row r="1709" spans="1:14">
      <c r="A1709" s="12" t="s">
        <v>8033</v>
      </c>
      <c r="B1709" s="8">
        <v>14732.3047384907</v>
      </c>
      <c r="C1709" s="12">
        <v>7334.7172933397997</v>
      </c>
      <c r="D1709" s="8">
        <v>1.0061698795079601</v>
      </c>
      <c r="E1709" s="12">
        <v>1.55062161253126E-2</v>
      </c>
      <c r="F1709" s="8" t="s">
        <v>8034</v>
      </c>
      <c r="G1709" s="12" t="s">
        <v>8035</v>
      </c>
      <c r="H1709" s="12">
        <v>1</v>
      </c>
      <c r="I1709" s="13" t="str">
        <f>HYPERLINK("http://www.ncbi.nlm.nih.gov/gene/22938", "22938")</f>
        <v>22938</v>
      </c>
      <c r="J1709" s="13" t="str">
        <f>HYPERLINK("http://www.ncbi.nlm.nih.gov/nuccore/NM_012245", "NM_012245")</f>
        <v>NM_012245</v>
      </c>
      <c r="K1709" s="12" t="s">
        <v>8036</v>
      </c>
      <c r="L1709" s="13" t="str">
        <f>HYPERLINK("http://asia.ensembl.org/Homo_sapiens/Gene/Summary?g=ENSG00000100603", "ENSG00000100603")</f>
        <v>ENSG00000100603</v>
      </c>
      <c r="M1709" s="12" t="s">
        <v>14655</v>
      </c>
      <c r="N1709" s="12" t="s">
        <v>14656</v>
      </c>
    </row>
    <row r="1710" spans="1:14">
      <c r="A1710" s="12" t="s">
        <v>8810</v>
      </c>
      <c r="B1710" s="8">
        <v>105.502502256074</v>
      </c>
      <c r="C1710" s="12">
        <v>52.528538145382697</v>
      </c>
      <c r="D1710" s="8">
        <v>1.0061038761024701</v>
      </c>
      <c r="E1710" s="12">
        <v>1.52083601789388E-3</v>
      </c>
      <c r="F1710" s="8" t="s">
        <v>8811</v>
      </c>
      <c r="G1710" s="12" t="s">
        <v>8812</v>
      </c>
      <c r="H1710" s="12">
        <v>4</v>
      </c>
      <c r="I1710" s="12" t="s">
        <v>8813</v>
      </c>
      <c r="J1710" s="12" t="s">
        <v>14901</v>
      </c>
      <c r="K1710" s="12" t="s">
        <v>14902</v>
      </c>
      <c r="L1710" s="12" t="s">
        <v>8814</v>
      </c>
      <c r="M1710" s="12" t="s">
        <v>14903</v>
      </c>
      <c r="N1710" s="12" t="s">
        <v>14904</v>
      </c>
    </row>
    <row r="1711" spans="1:14">
      <c r="A1711" s="12" t="s">
        <v>6940</v>
      </c>
      <c r="B1711" s="8">
        <v>12669.941755698501</v>
      </c>
      <c r="C1711" s="12">
        <v>6308.5976436546798</v>
      </c>
      <c r="D1711" s="8">
        <v>1.00601864723603</v>
      </c>
      <c r="E1711" s="12">
        <v>1.54289337361301E-2</v>
      </c>
      <c r="F1711" s="8" t="s">
        <v>6941</v>
      </c>
      <c r="G1711" s="12" t="s">
        <v>6942</v>
      </c>
      <c r="H1711" s="12">
        <v>1</v>
      </c>
      <c r="I1711" s="13" t="str">
        <f>HYPERLINK("http://www.ncbi.nlm.nih.gov/gene/6897", "6897")</f>
        <v>6897</v>
      </c>
      <c r="J1711" s="12" t="s">
        <v>14314</v>
      </c>
      <c r="K1711" s="12" t="s">
        <v>14315</v>
      </c>
      <c r="L1711" s="13" t="str">
        <f>HYPERLINK("http://asia.ensembl.org/Homo_sapiens/Gene/Summary?g=ENSG00000113407", "ENSG00000113407")</f>
        <v>ENSG00000113407</v>
      </c>
      <c r="M1711" s="12" t="s">
        <v>14316</v>
      </c>
      <c r="N1711" s="12" t="s">
        <v>14317</v>
      </c>
    </row>
    <row r="1712" spans="1:14">
      <c r="A1712" s="12" t="s">
        <v>156</v>
      </c>
      <c r="B1712" s="8">
        <v>2293.2504235442798</v>
      </c>
      <c r="C1712" s="12">
        <v>1141.9435879038799</v>
      </c>
      <c r="D1712" s="8">
        <v>1.00590252297455</v>
      </c>
      <c r="E1712" s="12">
        <v>1.9454441021098401E-3</v>
      </c>
      <c r="F1712" s="8" t="s">
        <v>157</v>
      </c>
      <c r="G1712" s="12" t="s">
        <v>158</v>
      </c>
      <c r="H1712" s="12">
        <v>1</v>
      </c>
      <c r="I1712" s="13" t="str">
        <f>HYPERLINK("http://www.ncbi.nlm.nih.gov/gene/1054", "1054")</f>
        <v>1054</v>
      </c>
      <c r="J1712" s="12" t="s">
        <v>11876</v>
      </c>
      <c r="K1712" s="12" t="s">
        <v>11877</v>
      </c>
      <c r="L1712" s="13" t="str">
        <f>HYPERLINK("http://asia.ensembl.org/Homo_sapiens/Gene/Summary?g=ENSG00000153879", "ENSG00000153879")</f>
        <v>ENSG00000153879</v>
      </c>
      <c r="M1712" s="12" t="s">
        <v>11878</v>
      </c>
      <c r="N1712" s="12" t="s">
        <v>11879</v>
      </c>
    </row>
    <row r="1713" spans="1:14">
      <c r="A1713" s="12" t="s">
        <v>3333</v>
      </c>
      <c r="B1713" s="8">
        <v>977.63211741735495</v>
      </c>
      <c r="C1713" s="12">
        <v>486.851291279615</v>
      </c>
      <c r="D1713" s="8">
        <v>1.00581051330267</v>
      </c>
      <c r="E1713" s="12">
        <v>1.1889976369902501E-3</v>
      </c>
      <c r="F1713" s="8" t="s">
        <v>1846</v>
      </c>
      <c r="G1713" s="12" t="s">
        <v>1847</v>
      </c>
      <c r="H1713" s="12">
        <v>1</v>
      </c>
      <c r="I1713" s="13" t="str">
        <f>HYPERLINK("http://www.ncbi.nlm.nih.gov/gene/904", "904")</f>
        <v>904</v>
      </c>
      <c r="J1713" s="13" t="str">
        <f>HYPERLINK("http://www.ncbi.nlm.nih.gov/nuccore/NM_001240", "NM_001240")</f>
        <v>NM_001240</v>
      </c>
      <c r="K1713" s="12" t="s">
        <v>1848</v>
      </c>
      <c r="L1713" s="13" t="str">
        <f>HYPERLINK("http://asia.ensembl.org/Homo_sapiens/Gene/Summary?g=ENSG00000129315", "ENSG00000129315")</f>
        <v>ENSG00000129315</v>
      </c>
      <c r="M1713" s="12" t="s">
        <v>12448</v>
      </c>
      <c r="N1713" s="12" t="s">
        <v>12449</v>
      </c>
    </row>
    <row r="1714" spans="1:14">
      <c r="A1714" s="12" t="s">
        <v>5458</v>
      </c>
      <c r="B1714" s="8">
        <v>581.32227041305202</v>
      </c>
      <c r="C1714" s="12">
        <v>289.65008641509502</v>
      </c>
      <c r="D1714" s="8">
        <v>1.0050270837406501</v>
      </c>
      <c r="E1714" s="12">
        <v>1.4911448529856401E-2</v>
      </c>
      <c r="F1714" s="8" t="s">
        <v>5459</v>
      </c>
      <c r="G1714" s="12" t="s">
        <v>13769</v>
      </c>
      <c r="H1714" s="12">
        <v>1</v>
      </c>
      <c r="I1714" s="13" t="str">
        <f>HYPERLINK("http://www.ncbi.nlm.nih.gov/gene/84186", "84186")</f>
        <v>84186</v>
      </c>
      <c r="J1714" s="13" t="str">
        <f>HYPERLINK("http://www.ncbi.nlm.nih.gov/nuccore/NM_032226", "NM_032226")</f>
        <v>NM_032226</v>
      </c>
      <c r="K1714" s="12" t="s">
        <v>5460</v>
      </c>
      <c r="L1714" s="13" t="str">
        <f>HYPERLINK("http://asia.ensembl.org/Homo_sapiens/Gene/Summary?g=ENSG00000147905", "ENSG00000147905")</f>
        <v>ENSG00000147905</v>
      </c>
      <c r="M1714" s="12" t="s">
        <v>13770</v>
      </c>
      <c r="N1714" s="12" t="s">
        <v>13771</v>
      </c>
    </row>
    <row r="1715" spans="1:14">
      <c r="A1715" s="12" t="s">
        <v>10618</v>
      </c>
      <c r="B1715" s="8">
        <v>740.34556842020595</v>
      </c>
      <c r="C1715" s="12">
        <v>368.89954275701598</v>
      </c>
      <c r="D1715" s="8">
        <v>1.00497082864677</v>
      </c>
      <c r="E1715" s="12">
        <v>3.6854706801984903E-2</v>
      </c>
      <c r="F1715" s="8" t="s">
        <v>5955</v>
      </c>
      <c r="G1715" s="12" t="s">
        <v>5956</v>
      </c>
      <c r="H1715" s="12">
        <v>1</v>
      </c>
      <c r="I1715" s="13" t="str">
        <f>HYPERLINK("http://www.ncbi.nlm.nih.gov/gene/84288", "84288")</f>
        <v>84288</v>
      </c>
      <c r="J1715" s="12" t="s">
        <v>15642</v>
      </c>
      <c r="K1715" s="12" t="s">
        <v>15643</v>
      </c>
      <c r="L1715" s="13" t="str">
        <f>HYPERLINK("http://asia.ensembl.org/Homo_sapiens/Gene/Summary?g=ENSG00000203666", "ENSG00000203666")</f>
        <v>ENSG00000203666</v>
      </c>
      <c r="M1715" s="12" t="s">
        <v>15644</v>
      </c>
      <c r="N1715" s="12" t="s">
        <v>15645</v>
      </c>
    </row>
    <row r="1716" spans="1:14">
      <c r="A1716" s="12" t="s">
        <v>8025</v>
      </c>
      <c r="B1716" s="8">
        <v>575.27480209809801</v>
      </c>
      <c r="C1716" s="12">
        <v>286.71948487449498</v>
      </c>
      <c r="D1716" s="8">
        <v>1.0046113288545599</v>
      </c>
      <c r="E1716" s="12">
        <v>6.0185676063638704E-3</v>
      </c>
      <c r="F1716" s="8" t="s">
        <v>8026</v>
      </c>
      <c r="G1716" s="12" t="s">
        <v>8027</v>
      </c>
      <c r="H1716" s="12">
        <v>1</v>
      </c>
      <c r="I1716" s="13" t="str">
        <f>HYPERLINK("http://www.ncbi.nlm.nih.gov/gene/8548", "8548")</f>
        <v>8548</v>
      </c>
      <c r="J1716" s="13" t="str">
        <f>HYPERLINK("http://www.ncbi.nlm.nih.gov/nuccore/NM_003666", "NM_003666")</f>
        <v>NM_003666</v>
      </c>
      <c r="K1716" s="12" t="s">
        <v>8028</v>
      </c>
      <c r="L1716" s="13" t="str">
        <f>HYPERLINK("http://asia.ensembl.org/Homo_sapiens/Gene/Summary?g=ENSG00000117475", "ENSG00000117475")</f>
        <v>ENSG00000117475</v>
      </c>
      <c r="M1716" s="12" t="s">
        <v>14651</v>
      </c>
      <c r="N1716" s="12" t="s">
        <v>14652</v>
      </c>
    </row>
    <row r="1717" spans="1:14">
      <c r="A1717" s="12" t="s">
        <v>7547</v>
      </c>
      <c r="B1717" s="8">
        <v>100.30918497373401</v>
      </c>
      <c r="C1717" s="12">
        <v>50</v>
      </c>
      <c r="D1717" s="8">
        <v>1.00445371471737</v>
      </c>
      <c r="E1717" s="12">
        <v>3.26207418344632E-3</v>
      </c>
      <c r="F1717" s="8" t="s">
        <v>2233</v>
      </c>
      <c r="G1717" s="12" t="s">
        <v>2234</v>
      </c>
      <c r="H1717" s="12">
        <v>1</v>
      </c>
      <c r="I1717" s="13" t="str">
        <f>HYPERLINK("http://www.ncbi.nlm.nih.gov/gene/27283", "27283")</f>
        <v>27283</v>
      </c>
      <c r="J1717" s="13" t="str">
        <f>HYPERLINK("http://www.ncbi.nlm.nih.gov/nuccore/NM_014464", "NM_014464")</f>
        <v>NM_014464</v>
      </c>
      <c r="K1717" s="12" t="s">
        <v>2235</v>
      </c>
      <c r="L1717" s="13" t="str">
        <f>HYPERLINK("http://asia.ensembl.org/Homo_sapiens/Gene/Summary?g=ENSG00000137251", "ENSG00000137251")</f>
        <v>ENSG00000137251</v>
      </c>
      <c r="M1717" s="12" t="s">
        <v>14467</v>
      </c>
      <c r="N1717" s="12" t="s">
        <v>14468</v>
      </c>
    </row>
    <row r="1718" spans="1:14">
      <c r="A1718" s="12" t="s">
        <v>5537</v>
      </c>
      <c r="B1718" s="8">
        <v>971.28433879400802</v>
      </c>
      <c r="C1718" s="12">
        <v>484.22755114959602</v>
      </c>
      <c r="D1718" s="8">
        <v>1.00420853261898</v>
      </c>
      <c r="E1718" s="12">
        <v>3.2437390814020403E-2</v>
      </c>
      <c r="F1718" s="8" t="s">
        <v>5538</v>
      </c>
      <c r="G1718" s="12" t="s">
        <v>5539</v>
      </c>
      <c r="H1718" s="12">
        <v>1</v>
      </c>
      <c r="I1718" s="13" t="str">
        <f>HYPERLINK("http://www.ncbi.nlm.nih.gov/gene/23078", "23078")</f>
        <v>23078</v>
      </c>
      <c r="J1718" s="13" t="str">
        <f>HYPERLINK("http://www.ncbi.nlm.nih.gov/nuccore/NM_015058", "NM_015058")</f>
        <v>NM_015058</v>
      </c>
      <c r="K1718" s="12" t="s">
        <v>5540</v>
      </c>
      <c r="L1718" s="13" t="str">
        <f>HYPERLINK("http://asia.ensembl.org/Homo_sapiens/Gene/Summary?g=ENSG00000102763", "ENSG00000102763")</f>
        <v>ENSG00000102763</v>
      </c>
      <c r="M1718" s="12" t="s">
        <v>13815</v>
      </c>
      <c r="N1718" s="12" t="s">
        <v>13816</v>
      </c>
    </row>
    <row r="1719" spans="1:14">
      <c r="A1719" s="12" t="s">
        <v>10627</v>
      </c>
      <c r="B1719" s="8">
        <v>645.48758957993402</v>
      </c>
      <c r="C1719" s="12">
        <v>321.80874458526199</v>
      </c>
      <c r="D1719" s="8">
        <v>1.0041858286399601</v>
      </c>
      <c r="E1719" s="12">
        <v>1.54535378515596E-2</v>
      </c>
      <c r="F1719" s="8" t="s">
        <v>10628</v>
      </c>
      <c r="G1719" s="12" t="s">
        <v>10629</v>
      </c>
      <c r="H1719" s="12">
        <v>1</v>
      </c>
      <c r="I1719" s="13" t="str">
        <f>HYPERLINK("http://www.ncbi.nlm.nih.gov/gene/160897", "160897")</f>
        <v>160897</v>
      </c>
      <c r="J1719" s="13" t="str">
        <f>HYPERLINK("http://www.ncbi.nlm.nih.gov/nuccore/NM_180989", "NM_180989")</f>
        <v>NM_180989</v>
      </c>
      <c r="K1719" s="12" t="s">
        <v>10630</v>
      </c>
      <c r="L1719" s="13" t="str">
        <f>HYPERLINK("http://asia.ensembl.org/Homo_sapiens/Gene/Summary?g=ENSG00000152749", "ENSG00000152749")</f>
        <v>ENSG00000152749</v>
      </c>
      <c r="M1719" s="12" t="s">
        <v>10631</v>
      </c>
      <c r="N1719" s="12" t="s">
        <v>10632</v>
      </c>
    </row>
    <row r="1720" spans="1:14">
      <c r="A1720" s="12" t="s">
        <v>8880</v>
      </c>
      <c r="B1720" s="8">
        <v>388.930984071262</v>
      </c>
      <c r="C1720" s="12">
        <v>193.944900712589</v>
      </c>
      <c r="D1720" s="8">
        <v>1.0038673268473</v>
      </c>
      <c r="E1720" s="12">
        <v>7.4356459817870903E-3</v>
      </c>
      <c r="F1720" s="8" t="s">
        <v>8881</v>
      </c>
      <c r="G1720" s="12" t="s">
        <v>8882</v>
      </c>
      <c r="H1720" s="12">
        <v>1</v>
      </c>
      <c r="I1720" s="13" t="str">
        <f>HYPERLINK("http://www.ncbi.nlm.nih.gov/gene/7772", "7772")</f>
        <v>7772</v>
      </c>
      <c r="J1720" s="13" t="str">
        <f>HYPERLINK("http://www.ncbi.nlm.nih.gov/nuccore/NM_014518", "NM_014518")</f>
        <v>NM_014518</v>
      </c>
      <c r="K1720" s="12" t="s">
        <v>8883</v>
      </c>
      <c r="L1720" s="13" t="str">
        <f>HYPERLINK("http://asia.ensembl.org/Homo_sapiens/Gene/Summary?g=ENSG00000278318", "ENSG00000278318")</f>
        <v>ENSG00000278318</v>
      </c>
      <c r="M1720" s="12" t="s">
        <v>14935</v>
      </c>
      <c r="N1720" s="12" t="s">
        <v>14936</v>
      </c>
    </row>
    <row r="1721" spans="1:14">
      <c r="A1721" s="12" t="s">
        <v>4925</v>
      </c>
      <c r="B1721" s="8">
        <v>188.22800354403401</v>
      </c>
      <c r="C1721" s="12">
        <v>93.904981036811705</v>
      </c>
      <c r="D1721" s="8">
        <v>1.00320768996669</v>
      </c>
      <c r="E1721" s="12">
        <v>1.67517754937643E-2</v>
      </c>
      <c r="F1721" s="8" t="s">
        <v>620</v>
      </c>
      <c r="G1721" s="12" t="s">
        <v>621</v>
      </c>
      <c r="H1721" s="12">
        <v>1</v>
      </c>
      <c r="I1721" s="13" t="str">
        <f>HYPERLINK("http://www.ncbi.nlm.nih.gov/gene/4883", "4883")</f>
        <v>4883</v>
      </c>
      <c r="J1721" s="12" t="s">
        <v>13479</v>
      </c>
      <c r="K1721" s="12" t="s">
        <v>13480</v>
      </c>
      <c r="L1721" s="13" t="str">
        <f>HYPERLINK("http://asia.ensembl.org/Homo_sapiens/Gene/Summary?g=ENSG00000113389", "ENSG00000113389")</f>
        <v>ENSG00000113389</v>
      </c>
      <c r="M1721" s="12" t="s">
        <v>13481</v>
      </c>
      <c r="N1721" s="12" t="s">
        <v>13482</v>
      </c>
    </row>
    <row r="1722" spans="1:14">
      <c r="A1722" s="12" t="s">
        <v>11289</v>
      </c>
      <c r="B1722" s="8">
        <v>1030.7751830847701</v>
      </c>
      <c r="C1722" s="12">
        <v>514.31576575987901</v>
      </c>
      <c r="D1722" s="8">
        <v>1.0030034247992401</v>
      </c>
      <c r="E1722" s="12">
        <v>2.38498444502787E-4</v>
      </c>
      <c r="F1722" s="8" t="s">
        <v>6575</v>
      </c>
      <c r="G1722" s="12" t="s">
        <v>6576</v>
      </c>
      <c r="H1722" s="12">
        <v>1</v>
      </c>
      <c r="I1722" s="13" t="str">
        <f>HYPERLINK("http://www.ncbi.nlm.nih.gov/gene/8790", "8790")</f>
        <v>8790</v>
      </c>
      <c r="J1722" s="12" t="s">
        <v>16092</v>
      </c>
      <c r="K1722" s="12" t="s">
        <v>16093</v>
      </c>
      <c r="L1722" s="13" t="str">
        <f>HYPERLINK("http://asia.ensembl.org/Homo_sapiens/Gene/Summary?g=ENSG00000254685", "ENSG00000254685")</f>
        <v>ENSG00000254685</v>
      </c>
      <c r="M1722" s="12" t="s">
        <v>16094</v>
      </c>
      <c r="N1722" s="12" t="s">
        <v>16095</v>
      </c>
    </row>
    <row r="1723" spans="1:14">
      <c r="A1723" s="12" t="s">
        <v>6685</v>
      </c>
      <c r="B1723" s="8">
        <v>139.307208195339</v>
      </c>
      <c r="C1723" s="12">
        <v>69.529182684141205</v>
      </c>
      <c r="D1723" s="8">
        <v>1.00257937361715</v>
      </c>
      <c r="E1723" s="12">
        <v>1.10501681914005E-2</v>
      </c>
      <c r="F1723" s="8" t="s">
        <v>6686</v>
      </c>
      <c r="G1723" s="12" t="s">
        <v>6687</v>
      </c>
      <c r="H1723" s="12">
        <v>1</v>
      </c>
      <c r="I1723" s="13" t="str">
        <f>HYPERLINK("http://www.ncbi.nlm.nih.gov/gene/284695", "284695")</f>
        <v>284695</v>
      </c>
      <c r="J1723" s="13" t="str">
        <f>HYPERLINK("http://www.ncbi.nlm.nih.gov/nuccore/NM_182976", "NM_182976")</f>
        <v>NM_182976</v>
      </c>
      <c r="K1723" s="12" t="s">
        <v>6688</v>
      </c>
      <c r="L1723" s="13" t="str">
        <f>HYPERLINK("http://asia.ensembl.org/Homo_sapiens/Gene/Summary?g=ENSG00000162664", "ENSG00000162664")</f>
        <v>ENSG00000162664</v>
      </c>
      <c r="M1723" s="12" t="s">
        <v>14240</v>
      </c>
      <c r="N1723" s="12" t="s">
        <v>14241</v>
      </c>
    </row>
    <row r="1724" spans="1:14">
      <c r="A1724" s="12" t="s">
        <v>1293</v>
      </c>
      <c r="B1724" s="8">
        <v>7213.8795287766297</v>
      </c>
      <c r="C1724" s="12">
        <v>3601.4077266801401</v>
      </c>
      <c r="D1724" s="8">
        <v>1.00221438962103</v>
      </c>
      <c r="E1724" s="12">
        <v>2.15986189272214E-3</v>
      </c>
      <c r="F1724" s="8" t="s">
        <v>1294</v>
      </c>
      <c r="G1724" s="12" t="s">
        <v>1295</v>
      </c>
      <c r="H1724" s="12">
        <v>1</v>
      </c>
      <c r="I1724" s="13" t="str">
        <f>HYPERLINK("http://www.ncbi.nlm.nih.gov/gene/51018", "51018")</f>
        <v>51018</v>
      </c>
      <c r="J1724" s="13" t="str">
        <f>HYPERLINK("http://www.ncbi.nlm.nih.gov/nuccore/NM_016052", "NM_016052")</f>
        <v>NM_016052</v>
      </c>
      <c r="K1724" s="12" t="s">
        <v>1296</v>
      </c>
      <c r="L1724" s="13" t="str">
        <f>HYPERLINK("http://asia.ensembl.org/Homo_sapiens/Gene/Summary?g=ENSG00000067533", "ENSG00000067533")</f>
        <v>ENSG00000067533</v>
      </c>
      <c r="M1724" s="12" t="s">
        <v>12296</v>
      </c>
      <c r="N1724" s="12" t="s">
        <v>1297</v>
      </c>
    </row>
    <row r="1725" spans="1:14">
      <c r="A1725" s="12" t="s">
        <v>2631</v>
      </c>
      <c r="B1725" s="8">
        <v>2111.6661692183702</v>
      </c>
      <c r="C1725" s="12">
        <v>1054.25752361539</v>
      </c>
      <c r="D1725" s="8">
        <v>1.00215446146808</v>
      </c>
      <c r="E1725" s="12">
        <v>4.7808704270299298E-4</v>
      </c>
      <c r="F1725" s="8" t="s">
        <v>2632</v>
      </c>
      <c r="G1725" s="12" t="s">
        <v>2633</v>
      </c>
      <c r="H1725" s="12">
        <v>1</v>
      </c>
      <c r="I1725" s="13" t="str">
        <f>HYPERLINK("http://www.ncbi.nlm.nih.gov/gene/102", "102")</f>
        <v>102</v>
      </c>
      <c r="J1725" s="13" t="str">
        <f>HYPERLINK("http://www.ncbi.nlm.nih.gov/nuccore/NM_001110", "NM_001110")</f>
        <v>NM_001110</v>
      </c>
      <c r="K1725" s="12" t="s">
        <v>2634</v>
      </c>
      <c r="L1725" s="13" t="str">
        <f>HYPERLINK("http://asia.ensembl.org/Homo_sapiens/Gene/Summary?g=ENSG00000137845", "ENSG00000137845")</f>
        <v>ENSG00000137845</v>
      </c>
      <c r="M1725" s="12" t="s">
        <v>12720</v>
      </c>
      <c r="N1725" s="12" t="s">
        <v>12721</v>
      </c>
    </row>
    <row r="1726" spans="1:14">
      <c r="A1726" s="12" t="s">
        <v>2398</v>
      </c>
      <c r="B1726" s="8">
        <v>2298.59936066727</v>
      </c>
      <c r="C1726" s="12">
        <v>1148.3034314717599</v>
      </c>
      <c r="D1726" s="8">
        <v>1.0012511154561201</v>
      </c>
      <c r="E1726" s="12">
        <v>9.8277835021367797E-3</v>
      </c>
      <c r="F1726" s="8" t="s">
        <v>2399</v>
      </c>
      <c r="G1726" s="12" t="s">
        <v>2400</v>
      </c>
      <c r="H1726" s="12">
        <v>1</v>
      </c>
      <c r="I1726" s="13" t="str">
        <f>HYPERLINK("http://www.ncbi.nlm.nih.gov/gene/147949", "147949")</f>
        <v>147949</v>
      </c>
      <c r="J1726" s="12" t="s">
        <v>12624</v>
      </c>
      <c r="K1726" s="12" t="s">
        <v>12625</v>
      </c>
      <c r="L1726" s="13" t="str">
        <f>HYPERLINK("http://asia.ensembl.org/Homo_sapiens/Gene/Summary?g=ENSG00000198440", "ENSG00000198440")</f>
        <v>ENSG00000198440</v>
      </c>
      <c r="M1726" s="12" t="s">
        <v>12626</v>
      </c>
      <c r="N1726" s="12" t="s">
        <v>12627</v>
      </c>
    </row>
    <row r="1727" spans="1:14">
      <c r="A1727" s="12" t="s">
        <v>9876</v>
      </c>
      <c r="B1727" s="8">
        <v>107.50553013360501</v>
      </c>
      <c r="C1727" s="12">
        <v>53.709102137385997</v>
      </c>
      <c r="D1727" s="8">
        <v>1.0011723655440801</v>
      </c>
      <c r="E1727" s="12">
        <v>3.7402291401642698E-3</v>
      </c>
      <c r="F1727" s="8" t="s">
        <v>9877</v>
      </c>
      <c r="G1727" s="12" t="s">
        <v>9878</v>
      </c>
      <c r="H1727" s="12">
        <v>1</v>
      </c>
      <c r="I1727" s="13" t="str">
        <f>HYPERLINK("http://www.ncbi.nlm.nih.gov/gene/201562", "201562")</f>
        <v>201562</v>
      </c>
      <c r="J1727" s="13" t="str">
        <f>HYPERLINK("http://www.ncbi.nlm.nih.gov/nuccore/NM_198402", "NM_198402")</f>
        <v>NM_198402</v>
      </c>
      <c r="K1727" s="12" t="s">
        <v>9879</v>
      </c>
      <c r="L1727" s="13" t="str">
        <f>HYPERLINK("http://asia.ensembl.org/Homo_sapiens/Gene/Summary?g=ENSG00000206527", "ENSG00000206527")</f>
        <v>ENSG00000206527</v>
      </c>
      <c r="M1727" s="12" t="s">
        <v>15231</v>
      </c>
      <c r="N1727" s="12" t="s">
        <v>15232</v>
      </c>
    </row>
    <row r="1728" spans="1:14">
      <c r="A1728" s="12" t="s">
        <v>6889</v>
      </c>
      <c r="B1728" s="8">
        <v>377.03472534991403</v>
      </c>
      <c r="C1728" s="12">
        <v>188.37594013842099</v>
      </c>
      <c r="D1728" s="8">
        <v>1.00108269157442</v>
      </c>
      <c r="E1728" s="12">
        <v>1.1079976425360501E-3</v>
      </c>
      <c r="F1728" s="8" t="s">
        <v>6890</v>
      </c>
      <c r="G1728" s="12" t="s">
        <v>6891</v>
      </c>
      <c r="H1728" s="12">
        <v>1</v>
      </c>
      <c r="I1728" s="13" t="str">
        <f>HYPERLINK("http://www.ncbi.nlm.nih.gov/gene/7743", "7743")</f>
        <v>7743</v>
      </c>
      <c r="J1728" s="12" t="s">
        <v>14304</v>
      </c>
      <c r="K1728" s="12" t="s">
        <v>14305</v>
      </c>
      <c r="L1728" s="13" t="str">
        <f>HYPERLINK("http://asia.ensembl.org/Homo_sapiens/Gene/Summary?g=ENSG00000136870", "ENSG00000136870")</f>
        <v>ENSG00000136870</v>
      </c>
      <c r="M1728" s="12" t="s">
        <v>14306</v>
      </c>
      <c r="N1728" s="12" t="s">
        <v>14307</v>
      </c>
    </row>
    <row r="1729" spans="1:14">
      <c r="A1729" s="12" t="s">
        <v>7646</v>
      </c>
      <c r="B1729" s="8">
        <v>246.99826156020799</v>
      </c>
      <c r="C1729" s="12">
        <v>123.43057067581</v>
      </c>
      <c r="D1729" s="8">
        <v>1.0008011294261201</v>
      </c>
      <c r="E1729" s="12">
        <v>1.9065153114893499E-2</v>
      </c>
      <c r="F1729" s="8" t="s">
        <v>7647</v>
      </c>
      <c r="G1729" s="12" t="s">
        <v>7648</v>
      </c>
      <c r="H1729" s="12">
        <v>1</v>
      </c>
      <c r="I1729" s="13" t="str">
        <f>HYPERLINK("http://www.ncbi.nlm.nih.gov/gene/339745", "339745")</f>
        <v>339745</v>
      </c>
      <c r="J1729" s="13" t="str">
        <f>HYPERLINK("http://www.ncbi.nlm.nih.gov/nuccore/NM_001001664", "NM_001001664")</f>
        <v>NM_001001664</v>
      </c>
      <c r="K1729" s="12" t="s">
        <v>7649</v>
      </c>
      <c r="L1729" s="13" t="str">
        <f>HYPERLINK("http://asia.ensembl.org/Homo_sapiens/Gene/Summary?g=ENSG00000144228", "ENSG00000144228")</f>
        <v>ENSG00000144228</v>
      </c>
      <c r="M1729" s="12" t="s">
        <v>14493</v>
      </c>
      <c r="N1729" s="12" t="s">
        <v>14494</v>
      </c>
    </row>
    <row r="1730" spans="1:14">
      <c r="A1730" s="12" t="s">
        <v>10835</v>
      </c>
      <c r="B1730" s="8">
        <v>1508.22987712693</v>
      </c>
      <c r="C1730" s="12">
        <v>753.94003851274499</v>
      </c>
      <c r="D1730" s="8">
        <v>1.00033463957322</v>
      </c>
      <c r="E1730" s="12">
        <v>4.3560839474201599E-3</v>
      </c>
      <c r="F1730" s="8" t="s">
        <v>10836</v>
      </c>
      <c r="G1730" s="12" t="s">
        <v>10837</v>
      </c>
      <c r="H1730" s="12">
        <v>1</v>
      </c>
      <c r="I1730" s="13" t="str">
        <f>HYPERLINK("http://www.ncbi.nlm.nih.gov/gene/90333", "90333")</f>
        <v>90333</v>
      </c>
      <c r="J1730" s="13" t="str">
        <f>HYPERLINK("http://www.ncbi.nlm.nih.gov/nuccore/NM_001008801", "NM_001008801")</f>
        <v>NM_001008801</v>
      </c>
      <c r="K1730" s="12" t="s">
        <v>10838</v>
      </c>
      <c r="L1730" s="13" t="str">
        <f>HYPERLINK("http://asia.ensembl.org/Homo_sapiens/Gene/Summary?g=ENSG00000204604", "ENSG00000204604")</f>
        <v>ENSG00000204604</v>
      </c>
      <c r="M1730" s="12" t="s">
        <v>15927</v>
      </c>
      <c r="N1730" s="12" t="s">
        <v>15928</v>
      </c>
    </row>
  </sheetData>
  <autoFilter ref="A2:N2" xr:uid="{00000000-0009-0000-0000-000003000000}">
    <sortState ref="A3:N1730">
      <sortCondition descending="1" ref="D2"/>
    </sortState>
  </autoFilter>
  <mergeCells count="3">
    <mergeCell ref="B1:C1"/>
    <mergeCell ref="D1:E1"/>
    <mergeCell ref="F1:N1"/>
  </mergeCells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773"/>
  <sheetViews>
    <sheetView tabSelected="1" workbookViewId="0">
      <selection activeCell="E3" sqref="A3:N1773"/>
    </sheetView>
  </sheetViews>
  <sheetFormatPr defaultColWidth="8.77734375" defaultRowHeight="14.4"/>
  <cols>
    <col min="1" max="1" width="15.77734375" style="9" customWidth="1"/>
    <col min="2" max="4" width="10.77734375" style="9" customWidth="1"/>
    <col min="5" max="5" width="11.21875" style="9" customWidth="1"/>
    <col min="6" max="6" width="17.21875" style="9" customWidth="1"/>
    <col min="7" max="7" width="63" style="9" customWidth="1"/>
    <col min="8" max="8" width="10.77734375" style="9" customWidth="1"/>
    <col min="9" max="9" width="17.21875" style="9" customWidth="1"/>
    <col min="10" max="10" width="10.77734375" style="9" customWidth="1"/>
    <col min="11" max="11" width="38.21875" style="9" customWidth="1"/>
    <col min="12" max="12" width="18.77734375" style="9" customWidth="1"/>
    <col min="13" max="13" width="27.77734375" style="9" customWidth="1"/>
    <col min="14" max="14" width="23.21875" style="9" customWidth="1"/>
    <col min="15" max="16384" width="8.77734375" style="9"/>
  </cols>
  <sheetData>
    <row r="1" spans="1:14">
      <c r="B1" s="21" t="s">
        <v>17</v>
      </c>
      <c r="C1" s="21"/>
      <c r="D1" s="21" t="s">
        <v>18</v>
      </c>
      <c r="E1" s="21"/>
      <c r="F1" s="21" t="s">
        <v>19</v>
      </c>
      <c r="G1" s="21"/>
      <c r="H1" s="21"/>
      <c r="I1" s="21"/>
      <c r="J1" s="21"/>
      <c r="K1" s="21"/>
      <c r="L1" s="21"/>
      <c r="M1" s="21"/>
      <c r="N1" s="21"/>
    </row>
    <row r="2" spans="1:14">
      <c r="A2" s="10" t="s">
        <v>20</v>
      </c>
      <c r="B2" s="11" t="s">
        <v>11</v>
      </c>
      <c r="C2" s="10" t="s">
        <v>4</v>
      </c>
      <c r="D2" s="11" t="s">
        <v>21</v>
      </c>
      <c r="E2" s="10" t="s">
        <v>22</v>
      </c>
      <c r="F2" s="11" t="s">
        <v>23</v>
      </c>
      <c r="G2" s="10" t="s">
        <v>24</v>
      </c>
      <c r="H2" s="10" t="s">
        <v>1</v>
      </c>
      <c r="I2" s="10" t="s">
        <v>25</v>
      </c>
      <c r="J2" s="10" t="s">
        <v>26</v>
      </c>
      <c r="K2" s="10" t="s">
        <v>27</v>
      </c>
      <c r="L2" s="10" t="s">
        <v>28</v>
      </c>
      <c r="M2" s="10" t="s">
        <v>29</v>
      </c>
      <c r="N2" s="10" t="s">
        <v>30</v>
      </c>
    </row>
    <row r="3" spans="1:14">
      <c r="A3" s="12" t="s">
        <v>11680</v>
      </c>
      <c r="B3" s="8">
        <v>268.32550832471202</v>
      </c>
      <c r="C3" s="12">
        <v>6082.1687498076899</v>
      </c>
      <c r="D3" s="8">
        <v>-4.50252972868544</v>
      </c>
      <c r="E3" s="12">
        <v>4.07010897213715E-6</v>
      </c>
      <c r="F3" s="8" t="s">
        <v>38</v>
      </c>
      <c r="G3" s="12" t="s">
        <v>38</v>
      </c>
      <c r="H3" s="12">
        <v>1</v>
      </c>
      <c r="I3" s="12" t="s">
        <v>38</v>
      </c>
      <c r="J3" s="12" t="s">
        <v>38</v>
      </c>
      <c r="K3" s="12" t="s">
        <v>38</v>
      </c>
      <c r="L3" s="12" t="s">
        <v>11681</v>
      </c>
      <c r="M3" s="12" t="s">
        <v>11682</v>
      </c>
      <c r="N3" s="12" t="s">
        <v>11683</v>
      </c>
    </row>
    <row r="4" spans="1:14">
      <c r="A4" s="12" t="s">
        <v>9389</v>
      </c>
      <c r="B4" s="8">
        <v>171.71662692907501</v>
      </c>
      <c r="C4" s="12">
        <v>3640.3444509214901</v>
      </c>
      <c r="D4" s="8">
        <v>-4.40597332120924</v>
      </c>
      <c r="E4" s="12">
        <v>1.60715078222556E-4</v>
      </c>
      <c r="F4" s="22" t="s">
        <v>9390</v>
      </c>
      <c r="G4" s="12" t="s">
        <v>9391</v>
      </c>
      <c r="H4" s="12">
        <v>1</v>
      </c>
      <c r="I4" s="13" t="str">
        <f>HYPERLINK("http://www.ncbi.nlm.nih.gov/gene/574036", "574036")</f>
        <v>574036</v>
      </c>
      <c r="J4" s="13" t="str">
        <f>HYPERLINK("http://www.ncbi.nlm.nih.gov/nuccore/NR_024337", "NR_024337")</f>
        <v>NR_024337</v>
      </c>
      <c r="K4" s="12" t="s">
        <v>199</v>
      </c>
      <c r="L4" s="12" t="s">
        <v>38</v>
      </c>
      <c r="M4" s="12" t="s">
        <v>38</v>
      </c>
      <c r="N4" s="12" t="s">
        <v>38</v>
      </c>
    </row>
    <row r="5" spans="1:14">
      <c r="A5" s="12" t="s">
        <v>1961</v>
      </c>
      <c r="B5" s="8">
        <v>49.999999999999901</v>
      </c>
      <c r="C5" s="12">
        <v>1003.82991556874</v>
      </c>
      <c r="D5" s="8">
        <v>-4.3274429411159101</v>
      </c>
      <c r="E5" s="12">
        <v>9.9665333084433206E-5</v>
      </c>
      <c r="F5" s="22" t="s">
        <v>1962</v>
      </c>
      <c r="G5" s="12" t="s">
        <v>1963</v>
      </c>
      <c r="H5" s="12">
        <v>1</v>
      </c>
      <c r="I5" s="13" t="str">
        <f>HYPERLINK("http://www.ncbi.nlm.nih.gov/gene/4015", "4015")</f>
        <v>4015</v>
      </c>
      <c r="J5" s="12" t="s">
        <v>16857</v>
      </c>
      <c r="K5" s="12" t="s">
        <v>16858</v>
      </c>
      <c r="L5" s="13" t="str">
        <f>HYPERLINK("http://asia.ensembl.org/Homo_sapiens/Gene/Summary?g=ENSG00000113083", "ENSG00000113083")</f>
        <v>ENSG00000113083</v>
      </c>
      <c r="M5" s="12" t="s">
        <v>16859</v>
      </c>
      <c r="N5" s="12" t="s">
        <v>16860</v>
      </c>
    </row>
    <row r="6" spans="1:14">
      <c r="A6" s="12" t="s">
        <v>3649</v>
      </c>
      <c r="B6" s="8">
        <v>88.7927048831029</v>
      </c>
      <c r="C6" s="12">
        <v>1459.5286312616299</v>
      </c>
      <c r="D6" s="8">
        <v>-4.03891755082293</v>
      </c>
      <c r="E6" s="12">
        <v>1.1284068213125E-3</v>
      </c>
      <c r="F6" s="22" t="s">
        <v>3650</v>
      </c>
      <c r="G6" s="12" t="s">
        <v>17367</v>
      </c>
      <c r="H6" s="12">
        <v>1</v>
      </c>
      <c r="I6" s="13" t="str">
        <f>HYPERLINK("http://www.ncbi.nlm.nih.gov/gene/1010", "1010")</f>
        <v>1010</v>
      </c>
      <c r="J6" s="13" t="str">
        <f>HYPERLINK("http://www.ncbi.nlm.nih.gov/nuccore/NM_004061", "NM_004061")</f>
        <v>NM_004061</v>
      </c>
      <c r="K6" s="12" t="s">
        <v>3651</v>
      </c>
      <c r="L6" s="13" t="str">
        <f>HYPERLINK("http://asia.ensembl.org/Homo_sapiens/Gene/Summary?g=ENSG00000154162", "ENSG00000154162")</f>
        <v>ENSG00000154162</v>
      </c>
      <c r="M6" s="12" t="s">
        <v>17368</v>
      </c>
      <c r="N6" s="12" t="s">
        <v>17369</v>
      </c>
    </row>
    <row r="7" spans="1:14">
      <c r="A7" s="17" t="s">
        <v>8556</v>
      </c>
      <c r="B7" s="18">
        <v>171.54140583555301</v>
      </c>
      <c r="C7" s="17">
        <v>2264.70268501184</v>
      </c>
      <c r="D7" s="18">
        <v>-3.7226929083259299</v>
      </c>
      <c r="E7" s="17">
        <v>7.2146627104674599E-6</v>
      </c>
      <c r="F7" s="23" t="s">
        <v>20224</v>
      </c>
      <c r="G7" s="12" t="s">
        <v>7232</v>
      </c>
      <c r="H7" s="12">
        <v>1</v>
      </c>
      <c r="I7" s="13" t="str">
        <f>HYPERLINK("http://www.ncbi.nlm.nih.gov/gene/7001", "7001")</f>
        <v>7001</v>
      </c>
      <c r="J7" s="13" t="str">
        <f>HYPERLINK("http://www.ncbi.nlm.nih.gov/nuccore/NM_005809", "NM_005809")</f>
        <v>NM_005809</v>
      </c>
      <c r="K7" s="12" t="s">
        <v>7233</v>
      </c>
      <c r="L7" s="13" t="str">
        <f>HYPERLINK("http://asia.ensembl.org/Homo_sapiens/Gene/Summary?g=ENSG00000167815", "ENSG00000167815")</f>
        <v>ENSG00000167815</v>
      </c>
      <c r="M7" s="12" t="s">
        <v>18910</v>
      </c>
      <c r="N7" s="12" t="s">
        <v>18911</v>
      </c>
    </row>
    <row r="8" spans="1:14">
      <c r="A8" s="12" t="s">
        <v>2603</v>
      </c>
      <c r="B8" s="8">
        <v>221.73749020507299</v>
      </c>
      <c r="C8" s="12">
        <v>2845.1540203190798</v>
      </c>
      <c r="D8" s="8">
        <v>-3.6815821346727602</v>
      </c>
      <c r="E8" s="12">
        <v>8.33865582102085E-4</v>
      </c>
      <c r="F8" s="22" t="s">
        <v>2604</v>
      </c>
      <c r="G8" s="12" t="s">
        <v>2605</v>
      </c>
      <c r="H8" s="12">
        <v>1</v>
      </c>
      <c r="I8" s="13" t="str">
        <f>HYPERLINK("http://www.ncbi.nlm.nih.gov/gene/4211", "4211")</f>
        <v>4211</v>
      </c>
      <c r="J8" s="13" t="str">
        <f>HYPERLINK("http://www.ncbi.nlm.nih.gov/nuccore/NM_002398", "NM_002398")</f>
        <v>NM_002398</v>
      </c>
      <c r="K8" s="12" t="s">
        <v>2606</v>
      </c>
      <c r="L8" s="13" t="str">
        <f>HYPERLINK("http://asia.ensembl.org/Homo_sapiens/Gene/Summary?g=ENSG00000143995", "ENSG00000143995")</f>
        <v>ENSG00000143995</v>
      </c>
      <c r="M8" s="12" t="s">
        <v>17043</v>
      </c>
      <c r="N8" s="12" t="s">
        <v>17044</v>
      </c>
    </row>
    <row r="9" spans="1:14">
      <c r="A9" s="12" t="s">
        <v>868</v>
      </c>
      <c r="B9" s="8">
        <v>1535.6274734393501</v>
      </c>
      <c r="C9" s="12">
        <v>19449.347534481501</v>
      </c>
      <c r="D9" s="8">
        <v>-3.6628215766072398</v>
      </c>
      <c r="E9" s="12">
        <v>3.1388369471030598E-4</v>
      </c>
      <c r="F9" s="22" t="s">
        <v>20225</v>
      </c>
      <c r="G9" s="12" t="s">
        <v>46</v>
      </c>
      <c r="H9" s="12">
        <v>1</v>
      </c>
      <c r="I9" s="13" t="str">
        <f>HYPERLINK("http://www.ncbi.nlm.nih.gov/gene/9547", "9547")</f>
        <v>9547</v>
      </c>
      <c r="J9" s="13" t="str">
        <f>HYPERLINK("http://www.ncbi.nlm.nih.gov/nuccore/NM_004887", "NM_004887")</f>
        <v>NM_004887</v>
      </c>
      <c r="K9" s="12" t="s">
        <v>869</v>
      </c>
      <c r="L9" s="13" t="str">
        <f>HYPERLINK("http://asia.ensembl.org/Homo_sapiens/Gene/Summary?g=ENSG00000145824", "ENSG00000145824")</f>
        <v>ENSG00000145824</v>
      </c>
      <c r="M9" s="12" t="s">
        <v>16460</v>
      </c>
      <c r="N9" s="12" t="s">
        <v>16461</v>
      </c>
    </row>
    <row r="10" spans="1:14">
      <c r="A10" s="12" t="s">
        <v>3256</v>
      </c>
      <c r="B10" s="8">
        <v>919.59621141830803</v>
      </c>
      <c r="C10" s="12">
        <v>11093.9934574745</v>
      </c>
      <c r="D10" s="8">
        <v>-3.59263444713444</v>
      </c>
      <c r="E10" s="12">
        <v>4.1748224728064903E-4</v>
      </c>
      <c r="F10" s="22" t="s">
        <v>3257</v>
      </c>
      <c r="G10" s="12" t="s">
        <v>3258</v>
      </c>
      <c r="H10" s="12">
        <v>1</v>
      </c>
      <c r="I10" s="13" t="str">
        <f>HYPERLINK("http://www.ncbi.nlm.nih.gov/gene/3489", "3489")</f>
        <v>3489</v>
      </c>
      <c r="J10" s="13" t="str">
        <f>HYPERLINK("http://www.ncbi.nlm.nih.gov/nuccore/NM_002178", "NM_002178")</f>
        <v>NM_002178</v>
      </c>
      <c r="K10" s="12" t="s">
        <v>3259</v>
      </c>
      <c r="L10" s="13" t="str">
        <f>HYPERLINK("http://asia.ensembl.org/Homo_sapiens/Gene/Summary?g=ENSG00000167779", "ENSG00000167779")</f>
        <v>ENSG00000167779</v>
      </c>
      <c r="M10" s="12" t="s">
        <v>17261</v>
      </c>
      <c r="N10" s="12" t="s">
        <v>17262</v>
      </c>
    </row>
    <row r="11" spans="1:14">
      <c r="A11" s="17" t="s">
        <v>9609</v>
      </c>
      <c r="B11" s="18">
        <v>301.95637007591</v>
      </c>
      <c r="C11" s="17">
        <v>3385.5024375589301</v>
      </c>
      <c r="D11" s="18">
        <v>-3.48695794446117</v>
      </c>
      <c r="E11" s="17">
        <v>2.1553229737436E-4</v>
      </c>
      <c r="F11" s="23" t="s">
        <v>7231</v>
      </c>
      <c r="G11" s="12" t="s">
        <v>7232</v>
      </c>
      <c r="H11" s="12">
        <v>1</v>
      </c>
      <c r="I11" s="13" t="str">
        <f>HYPERLINK("http://www.ncbi.nlm.nih.gov/gene/7001", "7001")</f>
        <v>7001</v>
      </c>
      <c r="J11" s="13" t="str">
        <f>HYPERLINK("http://www.ncbi.nlm.nih.gov/nuccore/NM_005809", "NM_005809")</f>
        <v>NM_005809</v>
      </c>
      <c r="K11" s="12" t="s">
        <v>7233</v>
      </c>
      <c r="L11" s="13" t="str">
        <f>HYPERLINK("http://asia.ensembl.org/Homo_sapiens/Gene/Summary?g=ENSG00000167815", "ENSG00000167815")</f>
        <v>ENSG00000167815</v>
      </c>
      <c r="M11" s="12" t="s">
        <v>18910</v>
      </c>
      <c r="N11" s="12" t="s">
        <v>18911</v>
      </c>
    </row>
    <row r="12" spans="1:14">
      <c r="A12" s="12" t="s">
        <v>9287</v>
      </c>
      <c r="B12" s="8">
        <v>607.23893969483697</v>
      </c>
      <c r="C12" s="12">
        <v>6586.3428880844303</v>
      </c>
      <c r="D12" s="8">
        <v>-3.4391414084308201</v>
      </c>
      <c r="E12" s="12">
        <v>7.5663680910561506E-5</v>
      </c>
      <c r="F12" s="22" t="s">
        <v>9288</v>
      </c>
      <c r="G12" s="12" t="s">
        <v>19115</v>
      </c>
      <c r="H12" s="12">
        <v>1</v>
      </c>
      <c r="I12" s="13" t="str">
        <f>HYPERLINK("http://www.ncbi.nlm.nih.gov/gene/254359", "254359")</f>
        <v>254359</v>
      </c>
      <c r="J12" s="13" t="str">
        <f>HYPERLINK("http://www.ncbi.nlm.nih.gov/nuccore/NM_207340", "NM_207340")</f>
        <v>NM_207340</v>
      </c>
      <c r="K12" s="12" t="s">
        <v>9289</v>
      </c>
      <c r="L12" s="13" t="str">
        <f>HYPERLINK("http://asia.ensembl.org/Homo_sapiens/Gene/Summary?g=ENSG00000174165", "ENSG00000174165")</f>
        <v>ENSG00000174165</v>
      </c>
      <c r="M12" s="12" t="s">
        <v>19116</v>
      </c>
      <c r="N12" s="12" t="s">
        <v>19117</v>
      </c>
    </row>
    <row r="13" spans="1:14">
      <c r="A13" s="17" t="s">
        <v>11836</v>
      </c>
      <c r="B13" s="18">
        <v>659.36338105167601</v>
      </c>
      <c r="C13" s="17">
        <v>6385.5809448206301</v>
      </c>
      <c r="D13" s="18">
        <v>-3.2756722071848099</v>
      </c>
      <c r="E13" s="17">
        <v>1.9694858323899798E-3</v>
      </c>
      <c r="F13" s="23" t="s">
        <v>7231</v>
      </c>
      <c r="G13" s="12" t="s">
        <v>7232</v>
      </c>
      <c r="H13" s="12">
        <v>1</v>
      </c>
      <c r="I13" s="13" t="str">
        <f>HYPERLINK("http://www.ncbi.nlm.nih.gov/gene/7001", "7001")</f>
        <v>7001</v>
      </c>
      <c r="J13" s="13" t="str">
        <f>HYPERLINK("http://www.ncbi.nlm.nih.gov/nuccore/NM_005809", "NM_005809")</f>
        <v>NM_005809</v>
      </c>
      <c r="K13" s="12" t="s">
        <v>7233</v>
      </c>
      <c r="L13" s="13" t="str">
        <f>HYPERLINK("http://asia.ensembl.org/Homo_sapiens/Gene/Summary?g=ENSG00000167815", "ENSG00000167815")</f>
        <v>ENSG00000167815</v>
      </c>
      <c r="M13" s="12" t="s">
        <v>18910</v>
      </c>
      <c r="N13" s="12" t="s">
        <v>18911</v>
      </c>
    </row>
    <row r="14" spans="1:14">
      <c r="A14" s="12" t="s">
        <v>8487</v>
      </c>
      <c r="B14" s="8">
        <v>120.145959094185</v>
      </c>
      <c r="C14" s="12">
        <v>1078.2236867151601</v>
      </c>
      <c r="D14" s="8">
        <v>-3.1657964767596001</v>
      </c>
      <c r="E14" s="12">
        <v>1.92066318912445E-4</v>
      </c>
      <c r="F14" s="22" t="s">
        <v>3561</v>
      </c>
      <c r="G14" s="12" t="s">
        <v>136</v>
      </c>
      <c r="H14" s="12">
        <v>1</v>
      </c>
      <c r="I14" s="13" t="str">
        <f>HYPERLINK("http://www.ncbi.nlm.nih.gov/gene/6347", "6347")</f>
        <v>6347</v>
      </c>
      <c r="J14" s="13" t="str">
        <f>HYPERLINK("http://www.ncbi.nlm.nih.gov/nuccore/NM_002982", "NM_002982")</f>
        <v>NM_002982</v>
      </c>
      <c r="K14" s="12" t="s">
        <v>3562</v>
      </c>
      <c r="L14" s="13" t="str">
        <f>HYPERLINK("http://asia.ensembl.org/Homo_sapiens/Gene/Summary?g=ENSG00000108691", "ENSG00000108691")</f>
        <v>ENSG00000108691</v>
      </c>
      <c r="M14" s="12" t="s">
        <v>17344</v>
      </c>
      <c r="N14" s="12" t="s">
        <v>17345</v>
      </c>
    </row>
    <row r="15" spans="1:14">
      <c r="A15" s="12" t="s">
        <v>9949</v>
      </c>
      <c r="B15" s="8">
        <v>180.06243063204101</v>
      </c>
      <c r="C15" s="12">
        <v>1597.52200948171</v>
      </c>
      <c r="D15" s="8">
        <v>-3.1492667029905799</v>
      </c>
      <c r="E15" s="12">
        <v>1.7407975643503001E-4</v>
      </c>
      <c r="F15" s="22" t="s">
        <v>2138</v>
      </c>
      <c r="G15" s="12" t="s">
        <v>2139</v>
      </c>
      <c r="H15" s="12">
        <v>1</v>
      </c>
      <c r="I15" s="13" t="str">
        <f>HYPERLINK("http://www.ncbi.nlm.nih.gov/gene/9734", "9734")</f>
        <v>9734</v>
      </c>
      <c r="J15" s="13" t="str">
        <f>HYPERLINK("http://www.ncbi.nlm.nih.gov/nuccore/NM_058176", "NM_058176")</f>
        <v>NM_058176</v>
      </c>
      <c r="K15" s="12" t="s">
        <v>9950</v>
      </c>
      <c r="L15" s="13" t="str">
        <f>HYPERLINK("http://asia.ensembl.org/Homo_sapiens/Gene/Summary?g=ENSG00000048052", "ENSG00000048052")</f>
        <v>ENSG00000048052</v>
      </c>
      <c r="M15" s="12" t="s">
        <v>15281</v>
      </c>
      <c r="N15" s="12" t="s">
        <v>15282</v>
      </c>
    </row>
    <row r="16" spans="1:14">
      <c r="A16" s="12" t="s">
        <v>1884</v>
      </c>
      <c r="B16" s="8">
        <v>120.289276994731</v>
      </c>
      <c r="C16" s="12">
        <v>978.08965293745598</v>
      </c>
      <c r="D16" s="8">
        <v>-3.0234586691115299</v>
      </c>
      <c r="E16" s="12">
        <v>1.08215481167546E-3</v>
      </c>
      <c r="F16" s="8" t="s">
        <v>1885</v>
      </c>
      <c r="G16" s="12" t="s">
        <v>16821</v>
      </c>
      <c r="H16" s="12">
        <v>1</v>
      </c>
      <c r="I16" s="13" t="str">
        <f>HYPERLINK("http://www.ncbi.nlm.nih.gov/gene/54504", "54504")</f>
        <v>54504</v>
      </c>
      <c r="J16" s="12" t="s">
        <v>16822</v>
      </c>
      <c r="K16" s="12" t="s">
        <v>16823</v>
      </c>
      <c r="L16" s="13" t="str">
        <f>HYPERLINK("http://asia.ensembl.org/Homo_sapiens/Gene/Summary?g=ENSG00000106066", "ENSG00000106066")</f>
        <v>ENSG00000106066</v>
      </c>
      <c r="M16" s="12" t="s">
        <v>16824</v>
      </c>
      <c r="N16" s="12" t="s">
        <v>16825</v>
      </c>
    </row>
    <row r="17" spans="1:14">
      <c r="A17" s="12" t="s">
        <v>1638</v>
      </c>
      <c r="B17" s="8">
        <v>61.614906339866302</v>
      </c>
      <c r="C17" s="12">
        <v>484.29838589688302</v>
      </c>
      <c r="D17" s="8">
        <v>-2.9745448687791098</v>
      </c>
      <c r="E17" s="12">
        <v>4.3812397493608202E-3</v>
      </c>
      <c r="F17" s="8" t="s">
        <v>1639</v>
      </c>
      <c r="G17" s="12" t="s">
        <v>1640</v>
      </c>
      <c r="H17" s="12">
        <v>1</v>
      </c>
      <c r="I17" s="13" t="str">
        <f>HYPERLINK("http://www.ncbi.nlm.nih.gov/gene/4753", "4753")</f>
        <v>4753</v>
      </c>
      <c r="J17" s="12" t="s">
        <v>16723</v>
      </c>
      <c r="K17" s="12" t="s">
        <v>16724</v>
      </c>
      <c r="L17" s="13" t="str">
        <f>HYPERLINK("http://asia.ensembl.org/Homo_sapiens/Gene/Summary?g=ENSG00000184613", "ENSG00000184613")</f>
        <v>ENSG00000184613</v>
      </c>
      <c r="M17" s="12" t="s">
        <v>16725</v>
      </c>
      <c r="N17" s="12" t="s">
        <v>16726</v>
      </c>
    </row>
    <row r="18" spans="1:14">
      <c r="A18" s="12" t="s">
        <v>1648</v>
      </c>
      <c r="B18" s="8">
        <v>1628.1329083897899</v>
      </c>
      <c r="C18" s="12">
        <v>12629.5817042402</v>
      </c>
      <c r="D18" s="8">
        <v>-2.9555164772220599</v>
      </c>
      <c r="E18" s="12">
        <v>3.20142085343426E-4</v>
      </c>
      <c r="F18" s="8" t="s">
        <v>1649</v>
      </c>
      <c r="G18" s="12" t="s">
        <v>1650</v>
      </c>
      <c r="H18" s="12">
        <v>1</v>
      </c>
      <c r="I18" s="13" t="str">
        <f>HYPERLINK("http://www.ncbi.nlm.nih.gov/gene/6275", "6275")</f>
        <v>6275</v>
      </c>
      <c r="J18" s="12" t="s">
        <v>16729</v>
      </c>
      <c r="K18" s="12" t="s">
        <v>16730</v>
      </c>
      <c r="L18" s="13" t="str">
        <f>HYPERLINK("http://asia.ensembl.org/Homo_sapiens/Gene/Summary?g=ENSG00000196154", "ENSG00000196154")</f>
        <v>ENSG00000196154</v>
      </c>
      <c r="M18" s="12" t="s">
        <v>16731</v>
      </c>
      <c r="N18" s="12" t="s">
        <v>16732</v>
      </c>
    </row>
    <row r="19" spans="1:14">
      <c r="A19" s="12" t="s">
        <v>10223</v>
      </c>
      <c r="B19" s="8">
        <v>259.50148137625803</v>
      </c>
      <c r="C19" s="12">
        <v>1981.6483368023701</v>
      </c>
      <c r="D19" s="8">
        <v>-2.9328862852501301</v>
      </c>
      <c r="E19" s="12">
        <v>1.05078094166088E-4</v>
      </c>
      <c r="F19" s="8" t="s">
        <v>2650</v>
      </c>
      <c r="G19" s="12" t="s">
        <v>2651</v>
      </c>
      <c r="H19" s="12">
        <v>1</v>
      </c>
      <c r="I19" s="13" t="str">
        <f>HYPERLINK("http://www.ncbi.nlm.nih.gov/gene/3084", "3084")</f>
        <v>3084</v>
      </c>
      <c r="J19" s="12" t="s">
        <v>19604</v>
      </c>
      <c r="K19" s="12" t="s">
        <v>19605</v>
      </c>
      <c r="L19" s="13" t="str">
        <f>HYPERLINK("http://asia.ensembl.org/Homo_sapiens/Gene/Summary?g=ENSG00000157168", "ENSG00000157168")</f>
        <v>ENSG00000157168</v>
      </c>
      <c r="M19" s="12" t="s">
        <v>17059</v>
      </c>
      <c r="N19" s="12" t="s">
        <v>17060</v>
      </c>
    </row>
    <row r="20" spans="1:14">
      <c r="A20" s="12" t="s">
        <v>1655</v>
      </c>
      <c r="B20" s="8">
        <v>304.84221582983298</v>
      </c>
      <c r="C20" s="12">
        <v>2321.7179870518798</v>
      </c>
      <c r="D20" s="8">
        <v>-2.92905813024668</v>
      </c>
      <c r="E20" s="12">
        <v>2.3895194619422301E-5</v>
      </c>
      <c r="F20" s="8" t="s">
        <v>1656</v>
      </c>
      <c r="G20" s="12" t="s">
        <v>1657</v>
      </c>
      <c r="H20" s="12">
        <v>1</v>
      </c>
      <c r="I20" s="13" t="str">
        <f>HYPERLINK("http://www.ncbi.nlm.nih.gov/gene/4258", "4258")</f>
        <v>4258</v>
      </c>
      <c r="J20" s="12" t="s">
        <v>16733</v>
      </c>
      <c r="K20" s="12" t="s">
        <v>16734</v>
      </c>
      <c r="L20" s="13" t="str">
        <f>HYPERLINK("http://asia.ensembl.org/Homo_sapiens/Gene/Summary?g=ENSG00000085871", "ENSG00000085871")</f>
        <v>ENSG00000085871</v>
      </c>
      <c r="M20" s="12" t="s">
        <v>16735</v>
      </c>
      <c r="N20" s="12" t="s">
        <v>16736</v>
      </c>
    </row>
    <row r="21" spans="1:14">
      <c r="A21" s="12" t="s">
        <v>4148</v>
      </c>
      <c r="B21" s="8">
        <v>31965.6274789126</v>
      </c>
      <c r="C21" s="12">
        <v>235147.178466741</v>
      </c>
      <c r="D21" s="8">
        <v>-2.87897070233885</v>
      </c>
      <c r="E21" s="12">
        <v>4.85185105101576E-4</v>
      </c>
      <c r="F21" s="8" t="s">
        <v>4149</v>
      </c>
      <c r="G21" s="12" t="s">
        <v>4150</v>
      </c>
      <c r="H21" s="12">
        <v>1</v>
      </c>
      <c r="I21" s="13" t="str">
        <f>HYPERLINK("http://www.ncbi.nlm.nih.gov/gene/2641", "2641")</f>
        <v>2641</v>
      </c>
      <c r="J21" s="13" t="str">
        <f>HYPERLINK("http://www.ncbi.nlm.nih.gov/nuccore/NM_002054", "NM_002054")</f>
        <v>NM_002054</v>
      </c>
      <c r="K21" s="12" t="s">
        <v>4151</v>
      </c>
      <c r="L21" s="13" t="str">
        <f>HYPERLINK("http://asia.ensembl.org/Homo_sapiens/Gene/Summary?g=ENSG00000115263", "ENSG00000115263")</f>
        <v>ENSG00000115263</v>
      </c>
      <c r="M21" s="12" t="s">
        <v>17583</v>
      </c>
      <c r="N21" s="12" t="s">
        <v>17584</v>
      </c>
    </row>
    <row r="22" spans="1:14">
      <c r="A22" s="12" t="s">
        <v>2498</v>
      </c>
      <c r="B22" s="8">
        <v>50</v>
      </c>
      <c r="C22" s="12">
        <v>361.053339247677</v>
      </c>
      <c r="D22" s="8">
        <v>-2.8522119855436401</v>
      </c>
      <c r="E22" s="12">
        <v>2.1168969198712898E-6</v>
      </c>
      <c r="F22" s="8" t="s">
        <v>2499</v>
      </c>
      <c r="G22" s="12" t="s">
        <v>2500</v>
      </c>
      <c r="H22" s="12">
        <v>1</v>
      </c>
      <c r="I22" s="13" t="str">
        <f>HYPERLINK("http://www.ncbi.nlm.nih.gov/gene/85445", "85445")</f>
        <v>85445</v>
      </c>
      <c r="J22" s="12" t="s">
        <v>17016</v>
      </c>
      <c r="K22" s="12" t="s">
        <v>17017</v>
      </c>
      <c r="L22" s="13" t="str">
        <f>HYPERLINK("http://asia.ensembl.org/Homo_sapiens/Gene/Summary?g=ENSG00000152910", "ENSG00000152910")</f>
        <v>ENSG00000152910</v>
      </c>
      <c r="M22" s="12" t="s">
        <v>17018</v>
      </c>
      <c r="N22" s="12" t="s">
        <v>17019</v>
      </c>
    </row>
    <row r="23" spans="1:14">
      <c r="A23" s="12" t="s">
        <v>9300</v>
      </c>
      <c r="B23" s="8">
        <v>446.75807800534398</v>
      </c>
      <c r="C23" s="12">
        <v>3146.2143262478899</v>
      </c>
      <c r="D23" s="8">
        <v>-2.8160512327559699</v>
      </c>
      <c r="E23" s="12">
        <v>3.1677997688851599E-4</v>
      </c>
      <c r="F23" s="8" t="s">
        <v>9301</v>
      </c>
      <c r="G23" s="12" t="s">
        <v>19120</v>
      </c>
      <c r="H23" s="12">
        <v>1</v>
      </c>
      <c r="I23" s="13" t="str">
        <f>HYPERLINK("http://www.ncbi.nlm.nih.gov/gene/219479", "219479")</f>
        <v>219479</v>
      </c>
      <c r="J23" s="13" t="str">
        <f>HYPERLINK("http://www.ncbi.nlm.nih.gov/nuccore/NM_001004744", "NM_001004744")</f>
        <v>NM_001004744</v>
      </c>
      <c r="K23" s="12" t="s">
        <v>9302</v>
      </c>
      <c r="L23" s="13" t="str">
        <f>HYPERLINK("http://asia.ensembl.org/Homo_sapiens/Gene/Summary?g=ENSG00000174942", "ENSG00000174942")</f>
        <v>ENSG00000174942</v>
      </c>
      <c r="M23" s="12" t="s">
        <v>9303</v>
      </c>
      <c r="N23" s="12" t="s">
        <v>9304</v>
      </c>
    </row>
    <row r="24" spans="1:14">
      <c r="A24" s="12" t="s">
        <v>10122</v>
      </c>
      <c r="B24" s="8">
        <v>137.614898535473</v>
      </c>
      <c r="C24" s="12">
        <v>954.190614641774</v>
      </c>
      <c r="D24" s="8">
        <v>-2.79364082784164</v>
      </c>
      <c r="E24" s="12">
        <v>7.5395914476726405E-5</v>
      </c>
      <c r="F24" s="8" t="s">
        <v>10123</v>
      </c>
      <c r="G24" s="12" t="s">
        <v>19548</v>
      </c>
      <c r="H24" s="12">
        <v>1</v>
      </c>
      <c r="I24" s="13" t="str">
        <f>HYPERLINK("http://www.ncbi.nlm.nih.gov/gene/677847", "677847")</f>
        <v>677847</v>
      </c>
      <c r="J24" s="13" t="str">
        <f>HYPERLINK("http://www.ncbi.nlm.nih.gov/nuccore/NR_002989", "NR_002989")</f>
        <v>NR_002989</v>
      </c>
      <c r="K24" s="12" t="s">
        <v>199</v>
      </c>
      <c r="L24" s="13" t="str">
        <f>HYPERLINK("http://asia.ensembl.org/Homo_sapiens/Gene/Summary?g=ENSG00000221420", "ENSG00000221420")</f>
        <v>ENSG00000221420</v>
      </c>
      <c r="M24" s="12" t="s">
        <v>10124</v>
      </c>
    </row>
    <row r="25" spans="1:14">
      <c r="A25" s="12" t="s">
        <v>5282</v>
      </c>
      <c r="B25" s="8">
        <v>205.20355434563299</v>
      </c>
      <c r="C25" s="12">
        <v>1387.1979162729201</v>
      </c>
      <c r="D25" s="8">
        <v>-2.7570460112846602</v>
      </c>
      <c r="E25" s="12">
        <v>7.2414646867070801E-5</v>
      </c>
      <c r="F25" s="8" t="s">
        <v>5283</v>
      </c>
      <c r="G25" s="12" t="s">
        <v>5284</v>
      </c>
      <c r="H25" s="12">
        <v>1</v>
      </c>
      <c r="I25" s="13" t="str">
        <f>HYPERLINK("http://www.ncbi.nlm.nih.gov/gene/7546", "7546")</f>
        <v>7546</v>
      </c>
      <c r="J25" s="13" t="str">
        <f>HYPERLINK("http://www.ncbi.nlm.nih.gov/nuccore/NM_007129", "NM_007129")</f>
        <v>NM_007129</v>
      </c>
      <c r="K25" s="12" t="s">
        <v>5285</v>
      </c>
      <c r="L25" s="13" t="str">
        <f>HYPERLINK("http://asia.ensembl.org/Homo_sapiens/Gene/Summary?g=ENSG00000043355", "ENSG00000043355")</f>
        <v>ENSG00000043355</v>
      </c>
      <c r="M25" s="12" t="s">
        <v>17843</v>
      </c>
      <c r="N25" s="12" t="s">
        <v>17844</v>
      </c>
    </row>
    <row r="26" spans="1:14">
      <c r="A26" s="12" t="s">
        <v>8935</v>
      </c>
      <c r="B26" s="8">
        <v>115.60147061839599</v>
      </c>
      <c r="C26" s="12">
        <v>780.15541772481004</v>
      </c>
      <c r="D26" s="8">
        <v>-2.7546018062375199</v>
      </c>
      <c r="E26" s="12">
        <v>1.49761353324381E-4</v>
      </c>
      <c r="F26" s="8" t="s">
        <v>8936</v>
      </c>
      <c r="G26" s="12" t="s">
        <v>8937</v>
      </c>
      <c r="H26" s="12">
        <v>1</v>
      </c>
      <c r="I26" s="13" t="str">
        <f>HYPERLINK("http://www.ncbi.nlm.nih.gov/gene/118427", "118427")</f>
        <v>118427</v>
      </c>
      <c r="J26" s="13" t="str">
        <f>HYPERLINK("http://www.ncbi.nlm.nih.gov/nuccore/NM_058170", "NM_058170")</f>
        <v>NM_058170</v>
      </c>
      <c r="K26" s="12" t="s">
        <v>8938</v>
      </c>
      <c r="L26" s="13" t="str">
        <f>HYPERLINK("http://asia.ensembl.org/Homo_sapiens/Gene/Summary?g=ENSG00000118733", "ENSG00000118733")</f>
        <v>ENSG00000118733</v>
      </c>
      <c r="M26" s="12" t="s">
        <v>19029</v>
      </c>
      <c r="N26" s="12" t="s">
        <v>19030</v>
      </c>
    </row>
    <row r="27" spans="1:14">
      <c r="A27" s="12" t="s">
        <v>9604</v>
      </c>
      <c r="B27" s="8">
        <v>407.76678299241303</v>
      </c>
      <c r="C27" s="12">
        <v>2717.1077266910802</v>
      </c>
      <c r="D27" s="8">
        <v>-2.7362556038675501</v>
      </c>
      <c r="E27" s="12">
        <v>5.2012793499043902E-4</v>
      </c>
      <c r="F27" s="8" t="s">
        <v>9605</v>
      </c>
      <c r="G27" s="12" t="s">
        <v>19221</v>
      </c>
      <c r="H27" s="12">
        <v>1</v>
      </c>
      <c r="I27" s="13" t="str">
        <f>HYPERLINK("http://www.ncbi.nlm.nih.gov/gene/619568", "619568")</f>
        <v>619568</v>
      </c>
      <c r="J27" s="13" t="str">
        <f>HYPERLINK("http://www.ncbi.nlm.nih.gov/nuccore/NR_002588", "NR_002588")</f>
        <v>NR_002588</v>
      </c>
      <c r="K27" s="12" t="s">
        <v>199</v>
      </c>
      <c r="L27" s="13" t="str">
        <f>HYPERLINK("http://asia.ensembl.org/Homo_sapiens/Gene/Summary?g=ENSG00000263776", "ENSG00000263776")</f>
        <v>ENSG00000263776</v>
      </c>
      <c r="M27" s="12" t="s">
        <v>9606</v>
      </c>
    </row>
    <row r="28" spans="1:14">
      <c r="A28" s="12" t="s">
        <v>2730</v>
      </c>
      <c r="B28" s="8">
        <v>151.82546836009601</v>
      </c>
      <c r="C28" s="12">
        <v>1011.46536905414</v>
      </c>
      <c r="D28" s="8">
        <v>-2.7359612003685698</v>
      </c>
      <c r="E28" s="12">
        <v>2.2199032466718E-4</v>
      </c>
      <c r="F28" s="8" t="s">
        <v>2731</v>
      </c>
      <c r="G28" s="12" t="s">
        <v>17100</v>
      </c>
      <c r="H28" s="12">
        <v>1</v>
      </c>
      <c r="I28" s="13" t="str">
        <f>HYPERLINK("http://www.ncbi.nlm.nih.gov/gene/55647", "55647")</f>
        <v>55647</v>
      </c>
      <c r="J28" s="13" t="str">
        <f>HYPERLINK("http://www.ncbi.nlm.nih.gov/nuccore/NM_017817", "NM_017817")</f>
        <v>NM_017817</v>
      </c>
      <c r="K28" s="12" t="s">
        <v>2732</v>
      </c>
      <c r="L28" s="13" t="str">
        <f>HYPERLINK("http://asia.ensembl.org/Homo_sapiens/Gene/Summary?g=ENSG00000139832", "ENSG00000139832")</f>
        <v>ENSG00000139832</v>
      </c>
      <c r="M28" s="12" t="s">
        <v>2733</v>
      </c>
      <c r="N28" s="12" t="s">
        <v>2734</v>
      </c>
    </row>
    <row r="29" spans="1:14">
      <c r="A29" s="12" t="s">
        <v>9495</v>
      </c>
      <c r="B29" s="8">
        <v>150.21998978791899</v>
      </c>
      <c r="C29" s="12">
        <v>984.74082007841503</v>
      </c>
      <c r="D29" s="8">
        <v>-2.71266725766414</v>
      </c>
      <c r="E29" s="12">
        <v>7.7808646363668296E-4</v>
      </c>
      <c r="F29" s="8" t="s">
        <v>8936</v>
      </c>
      <c r="G29" s="12" t="s">
        <v>8937</v>
      </c>
      <c r="H29" s="12">
        <v>1</v>
      </c>
      <c r="I29" s="13" t="str">
        <f>HYPERLINK("http://www.ncbi.nlm.nih.gov/gene/118427", "118427")</f>
        <v>118427</v>
      </c>
      <c r="J29" s="13" t="str">
        <f>HYPERLINK("http://www.ncbi.nlm.nih.gov/nuccore/NM_058170", "NM_058170")</f>
        <v>NM_058170</v>
      </c>
      <c r="K29" s="12" t="s">
        <v>8938</v>
      </c>
      <c r="L29" s="13" t="str">
        <f>HYPERLINK("http://asia.ensembl.org/Homo_sapiens/Gene/Summary?g=ENSG00000118733", "ENSG00000118733")</f>
        <v>ENSG00000118733</v>
      </c>
      <c r="M29" s="12" t="s">
        <v>19029</v>
      </c>
      <c r="N29" s="12" t="s">
        <v>19030</v>
      </c>
    </row>
    <row r="30" spans="1:14">
      <c r="A30" s="12" t="s">
        <v>2696</v>
      </c>
      <c r="B30" s="8">
        <v>218.095161607981</v>
      </c>
      <c r="C30" s="12">
        <v>1413.8439447736901</v>
      </c>
      <c r="D30" s="8">
        <v>-2.69659321964197</v>
      </c>
      <c r="E30" s="12">
        <v>1.8611153525980101E-4</v>
      </c>
      <c r="F30" s="8" t="s">
        <v>2697</v>
      </c>
      <c r="G30" s="12" t="s">
        <v>15794</v>
      </c>
      <c r="H30" s="12">
        <v>1</v>
      </c>
      <c r="I30" s="13" t="str">
        <f>HYPERLINK("http://www.ncbi.nlm.nih.gov/gene/84889", "84889")</f>
        <v>84889</v>
      </c>
      <c r="J30" s="12" t="s">
        <v>17077</v>
      </c>
      <c r="K30" s="12" t="s">
        <v>17078</v>
      </c>
      <c r="L30" s="13" t="str">
        <f>HYPERLINK("http://asia.ensembl.org/Homo_sapiens/Gene/Summary?g=ENSG00000165349", "ENSG00000165349")</f>
        <v>ENSG00000165349</v>
      </c>
      <c r="M30" s="12" t="s">
        <v>17079</v>
      </c>
      <c r="N30" s="12" t="s">
        <v>17080</v>
      </c>
    </row>
    <row r="31" spans="1:14">
      <c r="A31" s="12" t="s">
        <v>10249</v>
      </c>
      <c r="B31" s="8">
        <v>230.214448953427</v>
      </c>
      <c r="C31" s="12">
        <v>1483.9911754176601</v>
      </c>
      <c r="D31" s="8">
        <v>-2.68843222365201</v>
      </c>
      <c r="E31" s="12">
        <v>3.9492873008582698E-4</v>
      </c>
      <c r="F31" s="8" t="s">
        <v>2650</v>
      </c>
      <c r="G31" s="12" t="s">
        <v>2651</v>
      </c>
      <c r="H31" s="12">
        <v>1</v>
      </c>
      <c r="I31" s="13" t="str">
        <f>HYPERLINK("http://www.ncbi.nlm.nih.gov/gene/3084", "3084")</f>
        <v>3084</v>
      </c>
      <c r="J31" s="12" t="s">
        <v>19625</v>
      </c>
      <c r="K31" s="12" t="s">
        <v>19626</v>
      </c>
      <c r="L31" s="13" t="str">
        <f>HYPERLINK("http://asia.ensembl.org/Homo_sapiens/Gene/Summary?g=ENSG00000157168", "ENSG00000157168")</f>
        <v>ENSG00000157168</v>
      </c>
      <c r="M31" s="12" t="s">
        <v>17059</v>
      </c>
      <c r="N31" s="12" t="s">
        <v>17060</v>
      </c>
    </row>
    <row r="32" spans="1:14">
      <c r="A32" s="12" t="s">
        <v>10514</v>
      </c>
      <c r="B32" s="8">
        <v>49.999999999999901</v>
      </c>
      <c r="C32" s="12">
        <v>321.79404172999102</v>
      </c>
      <c r="D32" s="8">
        <v>-2.6861376136742501</v>
      </c>
      <c r="E32" s="12">
        <v>4.6919967532098001E-5</v>
      </c>
      <c r="F32" s="8" t="s">
        <v>1962</v>
      </c>
      <c r="G32" s="12" t="s">
        <v>1963</v>
      </c>
      <c r="H32" s="12">
        <v>1</v>
      </c>
      <c r="I32" s="13" t="str">
        <f>HYPERLINK("http://www.ncbi.nlm.nih.gov/gene/4015", "4015")</f>
        <v>4015</v>
      </c>
      <c r="J32" s="12" t="s">
        <v>16857</v>
      </c>
      <c r="K32" s="12" t="s">
        <v>16858</v>
      </c>
      <c r="L32" s="13" t="str">
        <f>HYPERLINK("http://asia.ensembl.org/Homo_sapiens/Gene/Summary?g=ENSG00000113083", "ENSG00000113083")</f>
        <v>ENSG00000113083</v>
      </c>
      <c r="M32" s="12" t="s">
        <v>16859</v>
      </c>
      <c r="N32" s="12" t="s">
        <v>16860</v>
      </c>
    </row>
    <row r="33" spans="1:14">
      <c r="A33" s="12" t="s">
        <v>9314</v>
      </c>
      <c r="B33" s="8">
        <v>416.29715187080802</v>
      </c>
      <c r="C33" s="12">
        <v>2598.7196615173998</v>
      </c>
      <c r="D33" s="8">
        <v>-2.6421154172739199</v>
      </c>
      <c r="E33" s="12">
        <v>5.7647602881062503E-4</v>
      </c>
      <c r="F33" s="8" t="s">
        <v>9315</v>
      </c>
      <c r="G33" s="12" t="s">
        <v>19124</v>
      </c>
      <c r="H33" s="12">
        <v>1</v>
      </c>
      <c r="I33" s="13" t="str">
        <f>HYPERLINK("http://www.ncbi.nlm.nih.gov/gene/121130", "121130")</f>
        <v>121130</v>
      </c>
      <c r="J33" s="13" t="str">
        <f>HYPERLINK("http://www.ncbi.nlm.nih.gov/nuccore/NM_206899", "NM_206899")</f>
        <v>NM_206899</v>
      </c>
      <c r="K33" s="12" t="s">
        <v>9316</v>
      </c>
      <c r="L33" s="13" t="str">
        <f>HYPERLINK("http://asia.ensembl.org/Homo_sapiens/Gene/Summary?g=ENSG00000175398", "ENSG00000175398")</f>
        <v>ENSG00000175398</v>
      </c>
      <c r="M33" s="12" t="s">
        <v>9317</v>
      </c>
      <c r="N33" s="12" t="s">
        <v>9318</v>
      </c>
    </row>
    <row r="34" spans="1:14">
      <c r="A34" s="12" t="s">
        <v>1665</v>
      </c>
      <c r="B34" s="8">
        <v>278.59080399889098</v>
      </c>
      <c r="C34" s="12">
        <v>1737.33278869008</v>
      </c>
      <c r="D34" s="8">
        <v>-2.6406545889775002</v>
      </c>
      <c r="E34" s="12">
        <v>2.0856212313903101E-4</v>
      </c>
      <c r="F34" s="8" t="s">
        <v>1666</v>
      </c>
      <c r="G34" s="12" t="s">
        <v>16743</v>
      </c>
      <c r="H34" s="12">
        <v>1</v>
      </c>
      <c r="I34" s="13" t="str">
        <f>HYPERLINK("http://www.ncbi.nlm.nih.gov/gene/4929", "4929")</f>
        <v>4929</v>
      </c>
      <c r="J34" s="13" t="str">
        <f>HYPERLINK("http://www.ncbi.nlm.nih.gov/nuccore/NM_006186", "NM_006186")</f>
        <v>NM_006186</v>
      </c>
      <c r="K34" s="12" t="s">
        <v>1667</v>
      </c>
      <c r="L34" s="13" t="str">
        <f>HYPERLINK("http://asia.ensembl.org/Homo_sapiens/Gene/Summary?g=ENSG00000153234", "ENSG00000153234")</f>
        <v>ENSG00000153234</v>
      </c>
      <c r="M34" s="12" t="s">
        <v>16744</v>
      </c>
      <c r="N34" s="12" t="s">
        <v>16745</v>
      </c>
    </row>
    <row r="35" spans="1:14">
      <c r="A35" s="12" t="s">
        <v>7477</v>
      </c>
      <c r="B35" s="8">
        <v>641.90773276566597</v>
      </c>
      <c r="C35" s="12">
        <v>3973.7451005830499</v>
      </c>
      <c r="D35" s="8">
        <v>-2.6300614869098702</v>
      </c>
      <c r="E35" s="12">
        <v>2.3404770873324199E-4</v>
      </c>
      <c r="F35" s="8" t="s">
        <v>7478</v>
      </c>
      <c r="G35" s="12" t="s">
        <v>7479</v>
      </c>
      <c r="H35" s="12">
        <v>1</v>
      </c>
      <c r="I35" s="13" t="str">
        <f>HYPERLINK("http://www.ncbi.nlm.nih.gov/gene/652", "652")</f>
        <v>652</v>
      </c>
      <c r="J35" s="12" t="s">
        <v>18541</v>
      </c>
      <c r="K35" s="12" t="s">
        <v>18542</v>
      </c>
      <c r="L35" s="13" t="str">
        <f>HYPERLINK("http://asia.ensembl.org/Homo_sapiens/Gene/Summary?g=ENSG00000125378", "ENSG00000125378")</f>
        <v>ENSG00000125378</v>
      </c>
      <c r="M35" s="12" t="s">
        <v>18543</v>
      </c>
      <c r="N35" s="12" t="s">
        <v>18544</v>
      </c>
    </row>
    <row r="36" spans="1:14">
      <c r="A36" s="12" t="s">
        <v>6909</v>
      </c>
      <c r="B36" s="8">
        <v>193.72953792677001</v>
      </c>
      <c r="C36" s="12">
        <v>1191.86158485741</v>
      </c>
      <c r="D36" s="8">
        <v>-2.6211008567810699</v>
      </c>
      <c r="E36" s="12">
        <v>5.7045448818321599E-5</v>
      </c>
      <c r="F36" s="8" t="s">
        <v>6910</v>
      </c>
      <c r="G36" s="12" t="s">
        <v>6911</v>
      </c>
      <c r="H36" s="12">
        <v>1</v>
      </c>
      <c r="I36" s="13" t="str">
        <f>HYPERLINK("http://www.ncbi.nlm.nih.gov/gene/6943", "6943")</f>
        <v>6943</v>
      </c>
      <c r="J36" s="13" t="str">
        <f>HYPERLINK("http://www.ncbi.nlm.nih.gov/nuccore/NM_003206", "NM_003206")</f>
        <v>NM_003206</v>
      </c>
      <c r="K36" s="12" t="s">
        <v>6912</v>
      </c>
      <c r="L36" s="13" t="str">
        <f>HYPERLINK("http://asia.ensembl.org/Homo_sapiens/Gene/Summary?g=ENSG00000118526", "ENSG00000118526")</f>
        <v>ENSG00000118526</v>
      </c>
      <c r="M36" s="12" t="s">
        <v>18300</v>
      </c>
      <c r="N36" s="12" t="s">
        <v>18301</v>
      </c>
    </row>
    <row r="37" spans="1:14">
      <c r="A37" s="12" t="s">
        <v>10120</v>
      </c>
      <c r="B37" s="8">
        <v>734.84606275929798</v>
      </c>
      <c r="C37" s="12">
        <v>4440.2470823052099</v>
      </c>
      <c r="D37" s="8">
        <v>-2.5951259914781701</v>
      </c>
      <c r="E37" s="12">
        <v>1.1359732033425799E-3</v>
      </c>
      <c r="F37" s="8" t="s">
        <v>10121</v>
      </c>
      <c r="G37" s="12" t="s">
        <v>19547</v>
      </c>
      <c r="H37" s="12">
        <v>1</v>
      </c>
      <c r="I37" s="13" t="str">
        <f>HYPERLINK("http://www.ncbi.nlm.nih.gov/gene/6043", "6043")</f>
        <v>6043</v>
      </c>
      <c r="J37" s="13" t="str">
        <f>HYPERLINK("http://www.ncbi.nlm.nih.gov/nuccore/NR_002586", "NR_002586")</f>
        <v>NR_002586</v>
      </c>
      <c r="K37" s="12" t="s">
        <v>199</v>
      </c>
      <c r="L37" s="12" t="s">
        <v>38</v>
      </c>
      <c r="M37" s="12" t="s">
        <v>38</v>
      </c>
      <c r="N37" s="12" t="s">
        <v>38</v>
      </c>
    </row>
    <row r="38" spans="1:14">
      <c r="A38" s="12" t="s">
        <v>10592</v>
      </c>
      <c r="B38" s="8">
        <v>382.70012499311298</v>
      </c>
      <c r="C38" s="12">
        <v>2286.73572147498</v>
      </c>
      <c r="D38" s="8">
        <v>-2.5790033655006801</v>
      </c>
      <c r="E38" s="12">
        <v>4.1690834744709297E-4</v>
      </c>
      <c r="F38" s="8" t="s">
        <v>9009</v>
      </c>
      <c r="G38" s="12" t="s">
        <v>9010</v>
      </c>
      <c r="H38" s="12">
        <v>1</v>
      </c>
      <c r="I38" s="13" t="str">
        <f>HYPERLINK("http://www.ncbi.nlm.nih.gov/gene/2", "2")</f>
        <v>2</v>
      </c>
      <c r="J38" s="13" t="str">
        <f>HYPERLINK("http://www.ncbi.nlm.nih.gov/nuccore/NM_000014", "NM_000014")</f>
        <v>NM_000014</v>
      </c>
      <c r="K38" s="12" t="s">
        <v>9011</v>
      </c>
      <c r="L38" s="13" t="str">
        <f>HYPERLINK("http://asia.ensembl.org/Homo_sapiens/Gene/Summary?g=ENSG00000175899", "ENSG00000175899")</f>
        <v>ENSG00000175899</v>
      </c>
      <c r="M38" s="12" t="s">
        <v>19795</v>
      </c>
      <c r="N38" s="12" t="s">
        <v>19796</v>
      </c>
    </row>
    <row r="39" spans="1:14">
      <c r="A39" s="12" t="s">
        <v>10816</v>
      </c>
      <c r="B39" s="8">
        <v>103.178730712356</v>
      </c>
      <c r="C39" s="12">
        <v>610.48919321095502</v>
      </c>
      <c r="D39" s="8">
        <v>-2.56482015314822</v>
      </c>
      <c r="E39" s="12">
        <v>3.6707588388715801E-5</v>
      </c>
      <c r="F39" s="8" t="s">
        <v>6642</v>
      </c>
      <c r="G39" s="12" t="s">
        <v>6643</v>
      </c>
      <c r="H39" s="12">
        <v>1</v>
      </c>
      <c r="I39" s="13" t="str">
        <f>HYPERLINK("http://www.ncbi.nlm.nih.gov/gene/84267", "84267")</f>
        <v>84267</v>
      </c>
      <c r="J39" s="13" t="str">
        <f>HYPERLINK("http://www.ncbi.nlm.nih.gov/nuccore/NM_032307", "NM_032307")</f>
        <v>NM_032307</v>
      </c>
      <c r="K39" s="12" t="s">
        <v>6644</v>
      </c>
      <c r="L39" s="13" t="str">
        <f>HYPERLINK("http://asia.ensembl.org/Homo_sapiens/Gene/Summary?g=ENSG00000165118", "ENSG00000165118")</f>
        <v>ENSG00000165118</v>
      </c>
      <c r="M39" s="12" t="s">
        <v>19861</v>
      </c>
      <c r="N39" s="12" t="s">
        <v>19862</v>
      </c>
    </row>
    <row r="40" spans="1:14">
      <c r="A40" s="12" t="s">
        <v>7173</v>
      </c>
      <c r="B40" s="8">
        <v>102.789375622831</v>
      </c>
      <c r="C40" s="12">
        <v>605.39545202364695</v>
      </c>
      <c r="D40" s="8">
        <v>-2.5581866827617898</v>
      </c>
      <c r="E40" s="12">
        <v>3.20028600877637E-2</v>
      </c>
      <c r="F40" s="8" t="s">
        <v>7174</v>
      </c>
      <c r="G40" s="12" t="s">
        <v>7175</v>
      </c>
      <c r="H40" s="12">
        <v>1</v>
      </c>
      <c r="I40" s="13" t="str">
        <f>HYPERLINK("http://www.ncbi.nlm.nih.gov/gene/221357", "221357")</f>
        <v>221357</v>
      </c>
      <c r="J40" s="13" t="str">
        <f>HYPERLINK("http://www.ncbi.nlm.nih.gov/nuccore/NM_153699", "NM_153699")</f>
        <v>NM_153699</v>
      </c>
      <c r="K40" s="12" t="s">
        <v>7176</v>
      </c>
      <c r="L40" s="13" t="str">
        <f>HYPERLINK("http://asia.ensembl.org/Homo_sapiens/Gene/Summary?g=ENSG00000182793", "ENSG00000182793")</f>
        <v>ENSG00000182793</v>
      </c>
      <c r="M40" s="12" t="s">
        <v>18398</v>
      </c>
      <c r="N40" s="12" t="s">
        <v>18399</v>
      </c>
    </row>
    <row r="41" spans="1:14">
      <c r="A41" s="12" t="s">
        <v>10743</v>
      </c>
      <c r="B41" s="8">
        <v>328.53018565532898</v>
      </c>
      <c r="C41" s="12">
        <v>1891.62650686395</v>
      </c>
      <c r="D41" s="8">
        <v>-2.5255294252592799</v>
      </c>
      <c r="E41" s="12">
        <v>1.25658133803124E-3</v>
      </c>
      <c r="F41" s="8" t="s">
        <v>8573</v>
      </c>
      <c r="G41" s="12" t="s">
        <v>8574</v>
      </c>
      <c r="H41" s="12">
        <v>1</v>
      </c>
      <c r="I41" s="13" t="str">
        <f>HYPERLINK("http://www.ncbi.nlm.nih.gov/gene/948", "948")</f>
        <v>948</v>
      </c>
      <c r="J41" s="13" t="str">
        <f>HYPERLINK("http://www.ncbi.nlm.nih.gov/nuccore/NM_001001548", "NM_001001548")</f>
        <v>NM_001001548</v>
      </c>
      <c r="K41" s="12" t="s">
        <v>8575</v>
      </c>
      <c r="L41" s="13" t="str">
        <f>HYPERLINK("http://asia.ensembl.org/Homo_sapiens/Gene/Summary?g=ENSG00000135218", "ENSG00000135218")</f>
        <v>ENSG00000135218</v>
      </c>
      <c r="M41" s="12" t="s">
        <v>18920</v>
      </c>
      <c r="N41" s="12" t="s">
        <v>18921</v>
      </c>
    </row>
    <row r="42" spans="1:14">
      <c r="A42" s="12" t="s">
        <v>7515</v>
      </c>
      <c r="B42" s="8">
        <v>3519.50253854827</v>
      </c>
      <c r="C42" s="12">
        <v>20149.276933950401</v>
      </c>
      <c r="D42" s="8">
        <v>-2.51728463617405</v>
      </c>
      <c r="E42" s="12">
        <v>1.46565109465674E-3</v>
      </c>
      <c r="F42" s="8" t="s">
        <v>7516</v>
      </c>
      <c r="G42" s="12" t="s">
        <v>7517</v>
      </c>
      <c r="H42" s="12">
        <v>1</v>
      </c>
      <c r="I42" s="13" t="str">
        <f>HYPERLINK("http://www.ncbi.nlm.nih.gov/gene/728392", "728392")</f>
        <v>728392</v>
      </c>
      <c r="J42" s="13" t="str">
        <f>HYPERLINK("http://www.ncbi.nlm.nih.gov/nuccore/NM_001162371", "NM_001162371")</f>
        <v>NM_001162371</v>
      </c>
      <c r="K42" s="12" t="s">
        <v>7518</v>
      </c>
      <c r="L42" s="12" t="s">
        <v>38</v>
      </c>
      <c r="M42" s="12" t="s">
        <v>38</v>
      </c>
      <c r="N42" s="12" t="s">
        <v>38</v>
      </c>
    </row>
    <row r="43" spans="1:14">
      <c r="A43" s="12" t="s">
        <v>11566</v>
      </c>
      <c r="B43" s="8">
        <v>49.999999999999901</v>
      </c>
      <c r="C43" s="12">
        <v>285.69246864847702</v>
      </c>
      <c r="D43" s="8">
        <v>-2.51446300481923</v>
      </c>
      <c r="E43" s="12">
        <v>2.3265435342730699E-2</v>
      </c>
      <c r="F43" s="8" t="s">
        <v>11567</v>
      </c>
      <c r="G43" s="12" t="s">
        <v>20138</v>
      </c>
      <c r="H43" s="12">
        <v>1</v>
      </c>
      <c r="I43" s="13" t="str">
        <f>HYPERLINK("http://www.ncbi.nlm.nih.gov/gene/121129", "121129")</f>
        <v>121129</v>
      </c>
      <c r="J43" s="13" t="str">
        <f>HYPERLINK("http://www.ncbi.nlm.nih.gov/nuccore/NM_001258285", "NM_001258285")</f>
        <v>NM_001258285</v>
      </c>
      <c r="K43" s="12" t="s">
        <v>11568</v>
      </c>
      <c r="L43" s="13" t="str">
        <f>HYPERLINK("http://asia.ensembl.org/Homo_sapiens/Gene/Summary?g=ENSG00000179615", "ENSG00000179615")</f>
        <v>ENSG00000179615</v>
      </c>
      <c r="M43" s="12" t="s">
        <v>11569</v>
      </c>
      <c r="N43" s="12" t="s">
        <v>11570</v>
      </c>
    </row>
    <row r="44" spans="1:14">
      <c r="A44" s="12" t="s">
        <v>2689</v>
      </c>
      <c r="B44" s="8">
        <v>169.642656365866</v>
      </c>
      <c r="C44" s="12">
        <v>966.52768178849306</v>
      </c>
      <c r="D44" s="8">
        <v>-2.5103120736614799</v>
      </c>
      <c r="E44" s="12">
        <v>1.87875906999153E-3</v>
      </c>
      <c r="F44" s="8" t="s">
        <v>2690</v>
      </c>
      <c r="G44" s="12" t="s">
        <v>2691</v>
      </c>
      <c r="H44" s="12">
        <v>1</v>
      </c>
      <c r="I44" s="13" t="str">
        <f>HYPERLINK("http://www.ncbi.nlm.nih.gov/gene/127294", "127294")</f>
        <v>127294</v>
      </c>
      <c r="J44" s="13" t="str">
        <f>HYPERLINK("http://www.ncbi.nlm.nih.gov/nuccore/NM_152372", "NM_152372")</f>
        <v>NM_152372</v>
      </c>
      <c r="K44" s="12" t="s">
        <v>2692</v>
      </c>
      <c r="L44" s="13" t="str">
        <f>HYPERLINK("http://asia.ensembl.org/Homo_sapiens/Gene/Summary?g=ENSG00000142661", "ENSG00000142661")</f>
        <v>ENSG00000142661</v>
      </c>
      <c r="M44" s="12" t="s">
        <v>17075</v>
      </c>
      <c r="N44" s="12" t="s">
        <v>17076</v>
      </c>
    </row>
    <row r="45" spans="1:14">
      <c r="A45" s="12" t="s">
        <v>10548</v>
      </c>
      <c r="B45" s="8">
        <v>838.20778984767401</v>
      </c>
      <c r="C45" s="12">
        <v>4771.9604197131202</v>
      </c>
      <c r="D45" s="8">
        <v>-2.50920224260497</v>
      </c>
      <c r="E45" s="12">
        <v>8.6759626967384098E-4</v>
      </c>
      <c r="F45" s="8" t="s">
        <v>1096</v>
      </c>
      <c r="G45" s="12" t="s">
        <v>19768</v>
      </c>
      <c r="H45" s="12">
        <v>1</v>
      </c>
      <c r="I45" s="13" t="str">
        <f>HYPERLINK("http://www.ncbi.nlm.nih.gov/gene/11240", "11240")</f>
        <v>11240</v>
      </c>
      <c r="J45" s="13" t="str">
        <f>HYPERLINK("http://www.ncbi.nlm.nih.gov/nuccore/NM_007365", "NM_007365")</f>
        <v>NM_007365</v>
      </c>
      <c r="K45" s="12" t="s">
        <v>1097</v>
      </c>
      <c r="L45" s="13" t="str">
        <f>HYPERLINK("http://asia.ensembl.org/Homo_sapiens/Gene/Summary?g=ENSG00000117115", "ENSG00000117115")</f>
        <v>ENSG00000117115</v>
      </c>
      <c r="M45" s="12" t="s">
        <v>19769</v>
      </c>
      <c r="N45" s="12" t="s">
        <v>19770</v>
      </c>
    </row>
    <row r="46" spans="1:14">
      <c r="A46" s="12" t="s">
        <v>4354</v>
      </c>
      <c r="B46" s="8">
        <v>206.10683119656699</v>
      </c>
      <c r="C46" s="12">
        <v>1171.2439767472799</v>
      </c>
      <c r="D46" s="8">
        <v>-2.5065774012745101</v>
      </c>
      <c r="E46" s="12">
        <v>5.9362463751406298E-4</v>
      </c>
      <c r="F46" s="8" t="s">
        <v>4355</v>
      </c>
      <c r="G46" s="12" t="s">
        <v>4356</v>
      </c>
      <c r="H46" s="12">
        <v>1</v>
      </c>
      <c r="I46" s="13" t="str">
        <f>HYPERLINK("http://www.ncbi.nlm.nih.gov/gene/158038", "158038")</f>
        <v>158038</v>
      </c>
      <c r="J46" s="12" t="s">
        <v>17664</v>
      </c>
      <c r="K46" s="12" t="s">
        <v>17665</v>
      </c>
      <c r="L46" s="13" t="str">
        <f>HYPERLINK("http://asia.ensembl.org/Homo_sapiens/Gene/Summary?g=ENSG00000174482", "ENSG00000174482")</f>
        <v>ENSG00000174482</v>
      </c>
      <c r="M46" s="12" t="s">
        <v>17666</v>
      </c>
      <c r="N46" s="12" t="s">
        <v>17667</v>
      </c>
    </row>
    <row r="47" spans="1:14">
      <c r="A47" s="12" t="s">
        <v>10504</v>
      </c>
      <c r="B47" s="8">
        <v>50.063549368408196</v>
      </c>
      <c r="C47" s="12">
        <v>284.391525542973</v>
      </c>
      <c r="D47" s="8">
        <v>-2.5060459924794101</v>
      </c>
      <c r="E47" s="12">
        <v>2.0019346460466699E-5</v>
      </c>
      <c r="F47" s="8" t="s">
        <v>4841</v>
      </c>
      <c r="G47" s="12" t="s">
        <v>4842</v>
      </c>
      <c r="H47" s="12">
        <v>1</v>
      </c>
      <c r="I47" s="13" t="str">
        <f>HYPERLINK("http://www.ncbi.nlm.nih.gov/gene/2044", "2044")</f>
        <v>2044</v>
      </c>
      <c r="J47" s="12" t="s">
        <v>19756</v>
      </c>
      <c r="K47" s="12" t="s">
        <v>19757</v>
      </c>
      <c r="L47" s="13" t="str">
        <f>HYPERLINK("http://asia.ensembl.org/Homo_sapiens/Gene/Summary?g=ENSG00000145242", "ENSG00000145242")</f>
        <v>ENSG00000145242</v>
      </c>
      <c r="M47" s="12" t="s">
        <v>19758</v>
      </c>
      <c r="N47" s="12" t="s">
        <v>19759</v>
      </c>
    </row>
    <row r="48" spans="1:14">
      <c r="A48" s="12" t="s">
        <v>9906</v>
      </c>
      <c r="B48" s="8">
        <v>214.795323226812</v>
      </c>
      <c r="C48" s="12">
        <v>1217.0116022127099</v>
      </c>
      <c r="D48" s="8">
        <v>-2.5023084351056299</v>
      </c>
      <c r="E48" s="12">
        <v>4.4683935904069901E-4</v>
      </c>
      <c r="F48" s="8" t="s">
        <v>4329</v>
      </c>
      <c r="G48" s="12" t="s">
        <v>17652</v>
      </c>
      <c r="H48" s="12">
        <v>1</v>
      </c>
      <c r="I48" s="13" t="str">
        <f>HYPERLINK("http://www.ncbi.nlm.nih.gov/gene/1538", "1538")</f>
        <v>1538</v>
      </c>
      <c r="J48" s="12" t="s">
        <v>17653</v>
      </c>
      <c r="K48" s="12" t="s">
        <v>17654</v>
      </c>
      <c r="L48" s="13" t="str">
        <f>HYPERLINK("http://asia.ensembl.org/Homo_sapiens/Gene/Summary?g=ENSG00000183035", "ENSG00000183035")</f>
        <v>ENSG00000183035</v>
      </c>
      <c r="M48" s="12" t="s">
        <v>17655</v>
      </c>
      <c r="N48" s="12" t="s">
        <v>17656</v>
      </c>
    </row>
    <row r="49" spans="1:14">
      <c r="A49" s="12" t="s">
        <v>3657</v>
      </c>
      <c r="B49" s="8">
        <v>3239.5576127245799</v>
      </c>
      <c r="C49" s="12">
        <v>18256.291167503801</v>
      </c>
      <c r="D49" s="8">
        <v>-2.4945249860737899</v>
      </c>
      <c r="E49" s="12">
        <v>7.4313810127226606E-5</v>
      </c>
      <c r="F49" s="8" t="s">
        <v>3658</v>
      </c>
      <c r="G49" s="12" t="s">
        <v>17370</v>
      </c>
      <c r="H49" s="12">
        <v>1</v>
      </c>
      <c r="I49" s="13" t="str">
        <f>HYPERLINK("http://www.ncbi.nlm.nih.gov/gene/55859", "55859")</f>
        <v>55859</v>
      </c>
      <c r="J49" s="13" t="str">
        <f>HYPERLINK("http://www.ncbi.nlm.nih.gov/nuccore/NM_018476", "NM_018476")</f>
        <v>NM_018476</v>
      </c>
      <c r="K49" s="12" t="s">
        <v>3659</v>
      </c>
      <c r="L49" s="13" t="str">
        <f>HYPERLINK("http://asia.ensembl.org/Homo_sapiens/Gene/Summary?g=ENSG00000133169", "ENSG00000133169")</f>
        <v>ENSG00000133169</v>
      </c>
      <c r="M49" s="12" t="s">
        <v>3660</v>
      </c>
      <c r="N49" s="12" t="s">
        <v>3661</v>
      </c>
    </row>
    <row r="50" spans="1:14">
      <c r="A50" s="12" t="s">
        <v>11814</v>
      </c>
      <c r="B50" s="8">
        <v>191.91321740899099</v>
      </c>
      <c r="C50" s="12">
        <v>1073.1059371748299</v>
      </c>
      <c r="D50" s="8">
        <v>-2.4832665251160502</v>
      </c>
      <c r="E50" s="12">
        <v>1.2345658470967499E-3</v>
      </c>
      <c r="F50" s="8" t="s">
        <v>8832</v>
      </c>
      <c r="G50" s="12" t="s">
        <v>18970</v>
      </c>
      <c r="H50" s="12">
        <v>1</v>
      </c>
      <c r="I50" s="13" t="str">
        <f>HYPERLINK("http://www.ncbi.nlm.nih.gov/gene/79789", "79789")</f>
        <v>79789</v>
      </c>
      <c r="J50" s="13" t="str">
        <f>HYPERLINK("http://www.ncbi.nlm.nih.gov/nuccore/NM_024734", "NM_024734")</f>
        <v>NM_024734</v>
      </c>
      <c r="K50" s="12" t="s">
        <v>8833</v>
      </c>
      <c r="L50" s="13" t="str">
        <f>HYPERLINK("http://asia.ensembl.org/Homo_sapiens/Gene/Summary?g=ENSG00000165959", "ENSG00000165959")</f>
        <v>ENSG00000165959</v>
      </c>
      <c r="M50" s="12" t="s">
        <v>18971</v>
      </c>
      <c r="N50" s="12" t="s">
        <v>18972</v>
      </c>
    </row>
    <row r="51" spans="1:14">
      <c r="A51" s="12" t="s">
        <v>2954</v>
      </c>
      <c r="B51" s="8">
        <v>1914.7665090672899</v>
      </c>
      <c r="C51" s="12">
        <v>10687.7401217353</v>
      </c>
      <c r="D51" s="8">
        <v>-2.4807164509179001</v>
      </c>
      <c r="E51" s="12">
        <v>1.4887900818916101E-3</v>
      </c>
      <c r="F51" s="8" t="s">
        <v>2955</v>
      </c>
      <c r="G51" s="12" t="s">
        <v>2956</v>
      </c>
      <c r="H51" s="12">
        <v>1</v>
      </c>
      <c r="I51" s="13" t="str">
        <f>HYPERLINK("http://www.ncbi.nlm.nih.gov/gene/80712", "80712")</f>
        <v>80712</v>
      </c>
      <c r="J51" s="13" t="str">
        <f>HYPERLINK("http://www.ncbi.nlm.nih.gov/nuccore/NM_153448", "NM_153448")</f>
        <v>NM_153448</v>
      </c>
      <c r="K51" s="12" t="s">
        <v>2957</v>
      </c>
      <c r="L51" s="13" t="str">
        <f>HYPERLINK("http://asia.ensembl.org/Homo_sapiens/Gene/Summary?g=ENSG00000123576", "ENSG00000123576")</f>
        <v>ENSG00000123576</v>
      </c>
      <c r="M51" s="12" t="s">
        <v>2958</v>
      </c>
      <c r="N51" s="12" t="s">
        <v>2959</v>
      </c>
    </row>
    <row r="52" spans="1:14">
      <c r="A52" s="12" t="s">
        <v>1538</v>
      </c>
      <c r="B52" s="8">
        <v>7872.6280176895998</v>
      </c>
      <c r="C52" s="12">
        <v>43494.831842380801</v>
      </c>
      <c r="D52" s="8">
        <v>-2.46592676925663</v>
      </c>
      <c r="E52" s="12">
        <v>2.7942176521852801E-3</v>
      </c>
      <c r="F52" s="8" t="s">
        <v>1539</v>
      </c>
      <c r="G52" s="12" t="s">
        <v>16674</v>
      </c>
      <c r="H52" s="12">
        <v>1</v>
      </c>
      <c r="I52" s="13" t="str">
        <f>HYPERLINK("http://www.ncbi.nlm.nih.gov/gene/216", "216")</f>
        <v>216</v>
      </c>
      <c r="J52" s="13" t="str">
        <f>HYPERLINK("http://www.ncbi.nlm.nih.gov/nuccore/NM_000689", "NM_000689")</f>
        <v>NM_000689</v>
      </c>
      <c r="K52" s="12" t="s">
        <v>1540</v>
      </c>
      <c r="L52" s="13" t="str">
        <f>HYPERLINK("http://asia.ensembl.org/Homo_sapiens/Gene/Summary?g=ENSG00000165092", "ENSG00000165092")</f>
        <v>ENSG00000165092</v>
      </c>
      <c r="M52" s="12" t="s">
        <v>16675</v>
      </c>
      <c r="N52" s="12" t="s">
        <v>16676</v>
      </c>
    </row>
    <row r="53" spans="1:14">
      <c r="A53" s="12" t="s">
        <v>2342</v>
      </c>
      <c r="B53" s="8">
        <v>82.816236452520798</v>
      </c>
      <c r="C53" s="12">
        <v>456.83398751978598</v>
      </c>
      <c r="D53" s="8">
        <v>-2.4636844416033998</v>
      </c>
      <c r="E53" s="12">
        <v>7.51458596580229E-4</v>
      </c>
      <c r="F53" s="8" t="s">
        <v>2343</v>
      </c>
      <c r="G53" s="12" t="s">
        <v>2344</v>
      </c>
      <c r="H53" s="12">
        <v>1</v>
      </c>
      <c r="I53" s="13" t="str">
        <f>HYPERLINK("http://www.ncbi.nlm.nih.gov/gene/84870", "84870")</f>
        <v>84870</v>
      </c>
      <c r="J53" s="13" t="str">
        <f>HYPERLINK("http://www.ncbi.nlm.nih.gov/nuccore/NM_032784", "NM_032784")</f>
        <v>NM_032784</v>
      </c>
      <c r="K53" s="12" t="s">
        <v>2345</v>
      </c>
      <c r="L53" s="13" t="str">
        <f>HYPERLINK("http://asia.ensembl.org/Homo_sapiens/Gene/Summary?g=ENSG00000146374", "ENSG00000146374")</f>
        <v>ENSG00000146374</v>
      </c>
      <c r="M53" s="12" t="s">
        <v>16978</v>
      </c>
      <c r="N53" s="12" t="s">
        <v>16979</v>
      </c>
    </row>
    <row r="54" spans="1:14">
      <c r="A54" s="12" t="s">
        <v>11318</v>
      </c>
      <c r="B54" s="8">
        <v>52.926597634558597</v>
      </c>
      <c r="C54" s="12">
        <v>290.92954860567397</v>
      </c>
      <c r="D54" s="8">
        <v>-2.4586050139329498</v>
      </c>
      <c r="E54" s="12">
        <v>2.4111131859686401E-3</v>
      </c>
      <c r="F54" s="8" t="s">
        <v>11319</v>
      </c>
      <c r="G54" s="12" t="s">
        <v>11320</v>
      </c>
      <c r="H54" s="12">
        <v>1</v>
      </c>
      <c r="I54" s="13" t="str">
        <f>HYPERLINK("http://www.ncbi.nlm.nih.gov/gene/100506388", "100506388")</f>
        <v>100506388</v>
      </c>
      <c r="J54" s="12" t="s">
        <v>20066</v>
      </c>
      <c r="K54" s="12" t="s">
        <v>20067</v>
      </c>
      <c r="L54" s="13" t="str">
        <f>HYPERLINK("http://asia.ensembl.org/Homo_sapiens/Gene/Summary?g=ENSG00000262061", "ENSG00000262061")</f>
        <v>ENSG00000262061</v>
      </c>
      <c r="M54" s="12" t="s">
        <v>20068</v>
      </c>
    </row>
    <row r="55" spans="1:14">
      <c r="A55" s="12" t="s">
        <v>3560</v>
      </c>
      <c r="B55" s="8">
        <v>501.470968444378</v>
      </c>
      <c r="C55" s="12">
        <v>2732.6417548946702</v>
      </c>
      <c r="D55" s="8">
        <v>-2.4460582504499802</v>
      </c>
      <c r="E55" s="12">
        <v>5.7666213973287797E-4</v>
      </c>
      <c r="F55" s="8" t="s">
        <v>3561</v>
      </c>
      <c r="G55" s="12" t="s">
        <v>136</v>
      </c>
      <c r="H55" s="12">
        <v>1</v>
      </c>
      <c r="I55" s="13" t="str">
        <f>HYPERLINK("http://www.ncbi.nlm.nih.gov/gene/6347", "6347")</f>
        <v>6347</v>
      </c>
      <c r="J55" s="13" t="str">
        <f>HYPERLINK("http://www.ncbi.nlm.nih.gov/nuccore/NM_002982", "NM_002982")</f>
        <v>NM_002982</v>
      </c>
      <c r="K55" s="12" t="s">
        <v>3562</v>
      </c>
      <c r="L55" s="13" t="str">
        <f>HYPERLINK("http://asia.ensembl.org/Homo_sapiens/Gene/Summary?g=ENSG00000108691", "ENSG00000108691")</f>
        <v>ENSG00000108691</v>
      </c>
      <c r="M55" s="12" t="s">
        <v>17344</v>
      </c>
      <c r="N55" s="12" t="s">
        <v>17345</v>
      </c>
    </row>
    <row r="56" spans="1:14">
      <c r="A56" s="12" t="s">
        <v>8572</v>
      </c>
      <c r="B56" s="8">
        <v>133.79917988284001</v>
      </c>
      <c r="C56" s="12">
        <v>709.44489875675799</v>
      </c>
      <c r="D56" s="8">
        <v>-2.4066213641821101</v>
      </c>
      <c r="E56" s="12">
        <v>2.4907237172072498E-4</v>
      </c>
      <c r="F56" s="8" t="s">
        <v>8573</v>
      </c>
      <c r="G56" s="12" t="s">
        <v>8574</v>
      </c>
      <c r="H56" s="12">
        <v>1</v>
      </c>
      <c r="I56" s="13" t="str">
        <f>HYPERLINK("http://www.ncbi.nlm.nih.gov/gene/948", "948")</f>
        <v>948</v>
      </c>
      <c r="J56" s="13" t="str">
        <f>HYPERLINK("http://www.ncbi.nlm.nih.gov/nuccore/NM_001001548", "NM_001001548")</f>
        <v>NM_001001548</v>
      </c>
      <c r="K56" s="12" t="s">
        <v>8575</v>
      </c>
      <c r="L56" s="13" t="str">
        <f>HYPERLINK("http://asia.ensembl.org/Homo_sapiens/Gene/Summary?g=ENSG00000135218", "ENSG00000135218")</f>
        <v>ENSG00000135218</v>
      </c>
      <c r="M56" s="12" t="s">
        <v>18920</v>
      </c>
      <c r="N56" s="12" t="s">
        <v>18921</v>
      </c>
    </row>
    <row r="57" spans="1:14">
      <c r="A57" s="12" t="s">
        <v>6144</v>
      </c>
      <c r="B57" s="8">
        <v>320.56614820865099</v>
      </c>
      <c r="C57" s="12">
        <v>1696.55308168857</v>
      </c>
      <c r="D57" s="8">
        <v>-2.4039125797180798</v>
      </c>
      <c r="E57" s="12">
        <v>1.9396516525873699E-3</v>
      </c>
      <c r="F57" s="8" t="s">
        <v>2650</v>
      </c>
      <c r="G57" s="12" t="s">
        <v>2651</v>
      </c>
      <c r="H57" s="12">
        <v>1</v>
      </c>
      <c r="I57" s="13" t="str">
        <f>HYPERLINK("http://www.ncbi.nlm.nih.gov/gene/3084", "3084")</f>
        <v>3084</v>
      </c>
      <c r="J57" s="12" t="s">
        <v>18065</v>
      </c>
      <c r="K57" s="12" t="s">
        <v>18066</v>
      </c>
      <c r="L57" s="13" t="str">
        <f>HYPERLINK("http://asia.ensembl.org/Homo_sapiens/Gene/Summary?g=ENSG00000157168", "ENSG00000157168")</f>
        <v>ENSG00000157168</v>
      </c>
      <c r="M57" s="12" t="s">
        <v>17059</v>
      </c>
      <c r="N57" s="12" t="s">
        <v>17060</v>
      </c>
    </row>
    <row r="58" spans="1:14">
      <c r="A58" s="12" t="s">
        <v>7540</v>
      </c>
      <c r="B58" s="8">
        <v>128.956410124737</v>
      </c>
      <c r="C58" s="12">
        <v>676.39030086550804</v>
      </c>
      <c r="D58" s="8">
        <v>-2.3909724843528202</v>
      </c>
      <c r="E58" s="12">
        <v>3.9676073670334797E-3</v>
      </c>
      <c r="F58" s="8" t="s">
        <v>7541</v>
      </c>
      <c r="G58" s="12" t="s">
        <v>278</v>
      </c>
      <c r="H58" s="12">
        <v>1</v>
      </c>
      <c r="I58" s="13" t="str">
        <f>HYPERLINK("http://www.ncbi.nlm.nih.gov/gene/115123", "115123")</f>
        <v>115123</v>
      </c>
      <c r="J58" s="13" t="str">
        <f>HYPERLINK("http://www.ncbi.nlm.nih.gov/nuccore/NM_178450", "NM_178450")</f>
        <v>NM_178450</v>
      </c>
      <c r="K58" s="12" t="s">
        <v>7542</v>
      </c>
      <c r="L58" s="13" t="str">
        <f>HYPERLINK("http://asia.ensembl.org/Homo_sapiens/Gene/Summary?g=ENSG00000173926", "ENSG00000173926")</f>
        <v>ENSG00000173926</v>
      </c>
      <c r="M58" s="12" t="s">
        <v>18566</v>
      </c>
      <c r="N58" s="12" t="s">
        <v>18567</v>
      </c>
    </row>
    <row r="59" spans="1:14">
      <c r="A59" s="12" t="s">
        <v>1320</v>
      </c>
      <c r="B59" s="8">
        <v>118.317338711064</v>
      </c>
      <c r="C59" s="12">
        <v>610.62286912917796</v>
      </c>
      <c r="D59" s="8">
        <v>-2.3676201149087102</v>
      </c>
      <c r="E59" s="12">
        <v>1.35228886596123E-4</v>
      </c>
      <c r="F59" s="8" t="s">
        <v>1321</v>
      </c>
      <c r="G59" s="12" t="s">
        <v>16575</v>
      </c>
      <c r="H59" s="12">
        <v>1</v>
      </c>
      <c r="I59" s="13" t="str">
        <f>HYPERLINK("http://www.ncbi.nlm.nih.gov/gene/11096", "11096")</f>
        <v>11096</v>
      </c>
      <c r="J59" s="13" t="str">
        <f>HYPERLINK("http://www.ncbi.nlm.nih.gov/nuccore/NM_007038", "NM_007038")</f>
        <v>NM_007038</v>
      </c>
      <c r="K59" s="12" t="s">
        <v>1322</v>
      </c>
      <c r="L59" s="13" t="str">
        <f>HYPERLINK("http://asia.ensembl.org/Homo_sapiens/Gene/Summary?g=ENSG00000154736", "ENSG00000154736")</f>
        <v>ENSG00000154736</v>
      </c>
      <c r="M59" s="12" t="s">
        <v>1323</v>
      </c>
      <c r="N59" s="12" t="s">
        <v>1324</v>
      </c>
    </row>
    <row r="60" spans="1:14">
      <c r="A60" s="12" t="s">
        <v>2727</v>
      </c>
      <c r="B60" s="8">
        <v>659.343426732956</v>
      </c>
      <c r="C60" s="12">
        <v>3390.0677663661399</v>
      </c>
      <c r="D60" s="8">
        <v>-2.36221210196695</v>
      </c>
      <c r="E60" s="12">
        <v>6.3641413404177504E-4</v>
      </c>
      <c r="F60" s="8" t="s">
        <v>2728</v>
      </c>
      <c r="G60" s="12" t="s">
        <v>17097</v>
      </c>
      <c r="H60" s="12">
        <v>1</v>
      </c>
      <c r="I60" s="13" t="str">
        <f>HYPERLINK("http://www.ncbi.nlm.nih.gov/gene/1300", "1300")</f>
        <v>1300</v>
      </c>
      <c r="J60" s="13" t="str">
        <f>HYPERLINK("http://www.ncbi.nlm.nih.gov/nuccore/NM_000493", "NM_000493")</f>
        <v>NM_000493</v>
      </c>
      <c r="K60" s="12" t="s">
        <v>2729</v>
      </c>
      <c r="L60" s="13" t="str">
        <f>HYPERLINK("http://asia.ensembl.org/Homo_sapiens/Gene/Summary?g=ENSG00000123500", "ENSG00000123500")</f>
        <v>ENSG00000123500</v>
      </c>
      <c r="M60" s="12" t="s">
        <v>17098</v>
      </c>
      <c r="N60" s="12" t="s">
        <v>17099</v>
      </c>
    </row>
    <row r="61" spans="1:14">
      <c r="A61" s="12" t="s">
        <v>11465</v>
      </c>
      <c r="B61" s="8">
        <v>497.859788816969</v>
      </c>
      <c r="C61" s="12">
        <v>2548.48814642666</v>
      </c>
      <c r="D61" s="8">
        <v>-2.3558302414674799</v>
      </c>
      <c r="E61" s="12">
        <v>1.81797926799111E-2</v>
      </c>
      <c r="F61" s="8" t="s">
        <v>7903</v>
      </c>
      <c r="G61" s="12" t="s">
        <v>20113</v>
      </c>
      <c r="H61" s="12">
        <v>4</v>
      </c>
      <c r="I61" s="12" t="s">
        <v>7904</v>
      </c>
      <c r="J61" s="12" t="s">
        <v>7905</v>
      </c>
      <c r="K61" s="12" t="s">
        <v>7906</v>
      </c>
      <c r="L61" s="12" t="s">
        <v>7907</v>
      </c>
      <c r="M61" s="12" t="s">
        <v>20114</v>
      </c>
      <c r="N61" s="12" t="s">
        <v>20115</v>
      </c>
    </row>
    <row r="62" spans="1:14">
      <c r="A62" s="12" t="s">
        <v>10708</v>
      </c>
      <c r="B62" s="8">
        <v>11959.208923931399</v>
      </c>
      <c r="C62" s="12">
        <v>61204.614982672203</v>
      </c>
      <c r="D62" s="8">
        <v>-2.3555184783684</v>
      </c>
      <c r="E62" s="12">
        <v>1.12522540459678E-3</v>
      </c>
      <c r="F62" s="8" t="s">
        <v>6169</v>
      </c>
      <c r="G62" s="12" t="s">
        <v>6170</v>
      </c>
      <c r="H62" s="12">
        <v>1</v>
      </c>
      <c r="I62" s="13" t="str">
        <f>HYPERLINK("http://www.ncbi.nlm.nih.gov/gene/201134", "201134")</f>
        <v>201134</v>
      </c>
      <c r="J62" s="12" t="s">
        <v>19836</v>
      </c>
      <c r="K62" s="12" t="s">
        <v>19837</v>
      </c>
      <c r="L62" s="13" t="str">
        <f>HYPERLINK("http://asia.ensembl.org/Homo_sapiens/Gene/Summary?g=ENSG00000154240", "ENSG00000154240")</f>
        <v>ENSG00000154240</v>
      </c>
      <c r="M62" s="12" t="s">
        <v>18073</v>
      </c>
      <c r="N62" s="12" t="s">
        <v>18074</v>
      </c>
    </row>
    <row r="63" spans="1:14">
      <c r="A63" s="12" t="s">
        <v>9428</v>
      </c>
      <c r="B63" s="8">
        <v>49.999999999999901</v>
      </c>
      <c r="C63" s="12">
        <v>254.03993108333299</v>
      </c>
      <c r="D63" s="8">
        <v>-2.3450552838009799</v>
      </c>
      <c r="E63" s="12">
        <v>5.7177833371661402E-4</v>
      </c>
      <c r="F63" s="8" t="s">
        <v>9429</v>
      </c>
      <c r="G63" s="12" t="s">
        <v>9430</v>
      </c>
      <c r="H63" s="12">
        <v>1</v>
      </c>
      <c r="I63" s="13" t="str">
        <f>HYPERLINK("http://www.ncbi.nlm.nih.gov/gene/645369", "645369")</f>
        <v>645369</v>
      </c>
      <c r="J63" s="13" t="str">
        <f>HYPERLINK("http://www.ncbi.nlm.nih.gov/nuccore/NM_001080209", "NM_001080209")</f>
        <v>NM_001080209</v>
      </c>
      <c r="K63" s="12" t="s">
        <v>9431</v>
      </c>
      <c r="L63" s="13" t="str">
        <f>HYPERLINK("http://asia.ensembl.org/Homo_sapiens/Gene/Summary?g=ENSG00000206432", "ENSG00000206432")</f>
        <v>ENSG00000206432</v>
      </c>
      <c r="M63" s="12" t="s">
        <v>19151</v>
      </c>
      <c r="N63" s="12" t="s">
        <v>19152</v>
      </c>
    </row>
    <row r="64" spans="1:14">
      <c r="A64" s="12" t="s">
        <v>4328</v>
      </c>
      <c r="B64" s="8">
        <v>109.974396068967</v>
      </c>
      <c r="C64" s="12">
        <v>558.06140438595298</v>
      </c>
      <c r="D64" s="8">
        <v>-2.3432561942007202</v>
      </c>
      <c r="E64" s="12">
        <v>1.6490284511979099E-4</v>
      </c>
      <c r="F64" s="8" t="s">
        <v>4329</v>
      </c>
      <c r="G64" s="12" t="s">
        <v>17652</v>
      </c>
      <c r="H64" s="12">
        <v>1</v>
      </c>
      <c r="I64" s="13" t="str">
        <f>HYPERLINK("http://www.ncbi.nlm.nih.gov/gene/1538", "1538")</f>
        <v>1538</v>
      </c>
      <c r="J64" s="12" t="s">
        <v>17653</v>
      </c>
      <c r="K64" s="12" t="s">
        <v>17654</v>
      </c>
      <c r="L64" s="13" t="str">
        <f>HYPERLINK("http://asia.ensembl.org/Homo_sapiens/Gene/Summary?g=ENSG00000183035", "ENSG00000183035")</f>
        <v>ENSG00000183035</v>
      </c>
      <c r="M64" s="12" t="s">
        <v>17655</v>
      </c>
      <c r="N64" s="12" t="s">
        <v>17656</v>
      </c>
    </row>
    <row r="65" spans="1:14">
      <c r="A65" s="12" t="s">
        <v>8369</v>
      </c>
      <c r="B65" s="8">
        <v>161.84825265095799</v>
      </c>
      <c r="C65" s="12">
        <v>812.63860978123796</v>
      </c>
      <c r="D65" s="8">
        <v>-2.327972121003</v>
      </c>
      <c r="E65" s="12">
        <v>5.1297212694836902E-4</v>
      </c>
      <c r="F65" s="8" t="s">
        <v>1133</v>
      </c>
      <c r="G65" s="12" t="s">
        <v>1134</v>
      </c>
      <c r="H65" s="12">
        <v>1</v>
      </c>
      <c r="I65" s="13" t="str">
        <f>HYPERLINK("http://www.ncbi.nlm.nih.gov/gene/3202", "3202")</f>
        <v>3202</v>
      </c>
      <c r="J65" s="13" t="str">
        <f>HYPERLINK("http://www.ncbi.nlm.nih.gov/nuccore/NM_019102", "NM_019102")</f>
        <v>NM_019102</v>
      </c>
      <c r="K65" s="12" t="s">
        <v>1135</v>
      </c>
      <c r="L65" s="13" t="str">
        <f>HYPERLINK("http://asia.ensembl.org/Homo_sapiens/Gene/Summary?g=ENSG00000106004", "ENSG00000106004")</f>
        <v>ENSG00000106004</v>
      </c>
      <c r="M65" s="12" t="s">
        <v>16516</v>
      </c>
      <c r="N65" s="12" t="s">
        <v>1136</v>
      </c>
    </row>
    <row r="66" spans="1:14">
      <c r="A66" s="12" t="s">
        <v>10129</v>
      </c>
      <c r="B66" s="8">
        <v>773.93884364374605</v>
      </c>
      <c r="C66" s="12">
        <v>3879.8737149373901</v>
      </c>
      <c r="D66" s="8">
        <v>-2.3257182204809301</v>
      </c>
      <c r="E66" s="12">
        <v>1.67630557878233E-4</v>
      </c>
      <c r="F66" s="8" t="s">
        <v>10130</v>
      </c>
      <c r="G66" s="12" t="s">
        <v>10131</v>
      </c>
      <c r="H66" s="12">
        <v>1</v>
      </c>
      <c r="I66" s="13" t="str">
        <f>HYPERLINK("http://www.ncbi.nlm.nih.gov/gene/22932", "22932")</f>
        <v>22932</v>
      </c>
      <c r="J66" s="13" t="str">
        <f>HYPERLINK("http://www.ncbi.nlm.nih.gov/nuccore/NM_152992", "NM_152992")</f>
        <v>NM_152992</v>
      </c>
      <c r="K66" s="12" t="s">
        <v>10132</v>
      </c>
      <c r="L66" s="13" t="str">
        <f>HYPERLINK("http://asia.ensembl.org/Homo_sapiens/Gene/Summary?g=ENSG00000146707", "ENSG00000146707")</f>
        <v>ENSG00000146707</v>
      </c>
      <c r="M66" s="12" t="s">
        <v>19550</v>
      </c>
      <c r="N66" s="12" t="s">
        <v>19551</v>
      </c>
    </row>
    <row r="67" spans="1:14">
      <c r="A67" s="12" t="s">
        <v>10214</v>
      </c>
      <c r="B67" s="8">
        <v>380.62848793549699</v>
      </c>
      <c r="C67" s="12">
        <v>1886.3722473749101</v>
      </c>
      <c r="D67" s="8">
        <v>-2.3091589499110201</v>
      </c>
      <c r="E67" s="12">
        <v>5.2361321801144497E-5</v>
      </c>
      <c r="F67" s="8" t="s">
        <v>5942</v>
      </c>
      <c r="G67" s="12" t="s">
        <v>19599</v>
      </c>
      <c r="H67" s="12">
        <v>1</v>
      </c>
      <c r="I67" s="13" t="str">
        <f>HYPERLINK("http://www.ncbi.nlm.nih.gov/gene/3910", "3910")</f>
        <v>3910</v>
      </c>
      <c r="J67" s="12" t="s">
        <v>19600</v>
      </c>
      <c r="K67" s="12" t="s">
        <v>19601</v>
      </c>
      <c r="L67" s="13" t="str">
        <f>HYPERLINK("http://asia.ensembl.org/Homo_sapiens/Gene/Summary?g=ENSG00000112769", "ENSG00000112769")</f>
        <v>ENSG00000112769</v>
      </c>
      <c r="M67" s="12" t="s">
        <v>19602</v>
      </c>
      <c r="N67" s="12" t="s">
        <v>19603</v>
      </c>
    </row>
    <row r="68" spans="1:14">
      <c r="A68" s="12" t="s">
        <v>9088</v>
      </c>
      <c r="B68" s="8">
        <v>376.74381435336699</v>
      </c>
      <c r="C68" s="12">
        <v>1862.8320103117401</v>
      </c>
      <c r="D68" s="8">
        <v>-2.3058418483540501</v>
      </c>
      <c r="E68" s="12">
        <v>2.03498484900725E-4</v>
      </c>
      <c r="F68" s="8" t="s">
        <v>9089</v>
      </c>
      <c r="G68" s="12" t="s">
        <v>19059</v>
      </c>
      <c r="H68" s="12">
        <v>1</v>
      </c>
      <c r="I68" s="13" t="str">
        <f>HYPERLINK("http://www.ncbi.nlm.nih.gov/gene/170261", "170261")</f>
        <v>170261</v>
      </c>
      <c r="J68" s="13" t="str">
        <f>HYPERLINK("http://www.ncbi.nlm.nih.gov/nuccore/NM_173798", "NM_173798")</f>
        <v>NM_173798</v>
      </c>
      <c r="K68" s="12" t="s">
        <v>9090</v>
      </c>
      <c r="L68" s="13" t="str">
        <f>HYPERLINK("http://asia.ensembl.org/Homo_sapiens/Gene/Summary?g=ENSG00000174460", "ENSG00000174460")</f>
        <v>ENSG00000174460</v>
      </c>
      <c r="M68" s="12" t="s">
        <v>9091</v>
      </c>
      <c r="N68" s="12" t="s">
        <v>9092</v>
      </c>
    </row>
    <row r="69" spans="1:14">
      <c r="A69" s="12" t="s">
        <v>9968</v>
      </c>
      <c r="B69" s="8">
        <v>396.56256312734399</v>
      </c>
      <c r="C69" s="12">
        <v>1958.64602792961</v>
      </c>
      <c r="D69" s="8">
        <v>-2.30423629949534</v>
      </c>
      <c r="E69" s="12">
        <v>1.2156362126321701E-3</v>
      </c>
      <c r="F69" s="8" t="s">
        <v>2650</v>
      </c>
      <c r="G69" s="12" t="s">
        <v>2651</v>
      </c>
      <c r="H69" s="12">
        <v>1</v>
      </c>
      <c r="I69" s="13" t="str">
        <f>HYPERLINK("http://www.ncbi.nlm.nih.gov/gene/3084", "3084")</f>
        <v>3084</v>
      </c>
      <c r="J69" s="12" t="s">
        <v>18065</v>
      </c>
      <c r="K69" s="12" t="s">
        <v>18066</v>
      </c>
      <c r="L69" s="13" t="str">
        <f>HYPERLINK("http://asia.ensembl.org/Homo_sapiens/Gene/Summary?g=ENSG00000157168", "ENSG00000157168")</f>
        <v>ENSG00000157168</v>
      </c>
      <c r="M69" s="12" t="s">
        <v>17059</v>
      </c>
      <c r="N69" s="12" t="s">
        <v>17060</v>
      </c>
    </row>
    <row r="70" spans="1:14">
      <c r="A70" s="12" t="s">
        <v>8301</v>
      </c>
      <c r="B70" s="8">
        <v>87.391618795480397</v>
      </c>
      <c r="C70" s="12">
        <v>428.05297863551499</v>
      </c>
      <c r="D70" s="8">
        <v>-2.2922225337797402</v>
      </c>
      <c r="E70" s="12">
        <v>6.23486737213729E-5</v>
      </c>
      <c r="F70" s="8" t="s">
        <v>8050</v>
      </c>
      <c r="G70" s="12" t="s">
        <v>18709</v>
      </c>
      <c r="H70" s="12">
        <v>1</v>
      </c>
      <c r="I70" s="13" t="str">
        <f>HYPERLINK("http://www.ncbi.nlm.nih.gov/gene/6092", "6092")</f>
        <v>6092</v>
      </c>
      <c r="J70" s="12" t="s">
        <v>18769</v>
      </c>
      <c r="K70" s="12" t="s">
        <v>18770</v>
      </c>
      <c r="L70" s="13" t="str">
        <f>HYPERLINK("http://asia.ensembl.org/Homo_sapiens/Gene/Summary?g=ENSG00000185008", "ENSG00000185008")</f>
        <v>ENSG00000185008</v>
      </c>
      <c r="M70" s="12" t="s">
        <v>18710</v>
      </c>
      <c r="N70" s="12" t="s">
        <v>18711</v>
      </c>
    </row>
    <row r="71" spans="1:14">
      <c r="A71" s="12" t="s">
        <v>10172</v>
      </c>
      <c r="B71" s="8">
        <v>2579.56845707413</v>
      </c>
      <c r="C71" s="12">
        <v>12620.1686562088</v>
      </c>
      <c r="D71" s="8">
        <v>-2.2905295520329401</v>
      </c>
      <c r="E71" s="12">
        <v>5.0302255922342397E-4</v>
      </c>
      <c r="F71" s="8" t="s">
        <v>9756</v>
      </c>
      <c r="G71" s="12" t="s">
        <v>9757</v>
      </c>
      <c r="H71" s="12">
        <v>1</v>
      </c>
      <c r="I71" s="13" t="str">
        <f>HYPERLINK("http://www.ncbi.nlm.nih.gov/gene/2745", "2745")</f>
        <v>2745</v>
      </c>
      <c r="J71" s="12" t="s">
        <v>19571</v>
      </c>
      <c r="K71" s="12" t="s">
        <v>19572</v>
      </c>
      <c r="L71" s="13" t="str">
        <f>HYPERLINK("http://asia.ensembl.org/Homo_sapiens/Gene/Summary?g=ENSG00000173221", "ENSG00000173221")</f>
        <v>ENSG00000173221</v>
      </c>
      <c r="M71" s="12" t="s">
        <v>19573</v>
      </c>
      <c r="N71" s="12" t="s">
        <v>19574</v>
      </c>
    </row>
    <row r="72" spans="1:14">
      <c r="A72" s="12" t="s">
        <v>10127</v>
      </c>
      <c r="B72" s="8">
        <v>68.931399093780598</v>
      </c>
      <c r="C72" s="12">
        <v>336.81913091337299</v>
      </c>
      <c r="D72" s="8">
        <v>-2.2887408810755701</v>
      </c>
      <c r="E72" s="12">
        <v>1.2560037001529501E-4</v>
      </c>
      <c r="F72" s="8" t="s">
        <v>10128</v>
      </c>
      <c r="G72" s="12" t="s">
        <v>19549</v>
      </c>
      <c r="H72" s="12">
        <v>1</v>
      </c>
      <c r="I72" s="13" t="str">
        <f>HYPERLINK("http://www.ncbi.nlm.nih.gov/gene/619567", "619567")</f>
        <v>619567</v>
      </c>
      <c r="J72" s="13" t="str">
        <f>HYPERLINK("http://www.ncbi.nlm.nih.gov/nuccore/NR_002587", "NR_002587")</f>
        <v>NR_002587</v>
      </c>
      <c r="K72" s="12" t="s">
        <v>199</v>
      </c>
      <c r="L72" s="12" t="s">
        <v>38</v>
      </c>
      <c r="M72" s="12" t="s">
        <v>38</v>
      </c>
      <c r="N72" s="12" t="s">
        <v>38</v>
      </c>
    </row>
    <row r="73" spans="1:14">
      <c r="A73" s="12" t="s">
        <v>10821</v>
      </c>
      <c r="B73" s="8">
        <v>144.097779238187</v>
      </c>
      <c r="C73" s="12">
        <v>703.68016712882104</v>
      </c>
      <c r="D73" s="8">
        <v>-2.2878717503549399</v>
      </c>
      <c r="E73" s="12">
        <v>2.70742909403745E-3</v>
      </c>
      <c r="F73" s="8" t="s">
        <v>452</v>
      </c>
      <c r="G73" s="12" t="s">
        <v>453</v>
      </c>
      <c r="H73" s="12">
        <v>1</v>
      </c>
      <c r="I73" s="13" t="str">
        <f>HYPERLINK("http://www.ncbi.nlm.nih.gov/gene/54751", "54751")</f>
        <v>54751</v>
      </c>
      <c r="J73" s="12" t="s">
        <v>19873</v>
      </c>
      <c r="K73" s="12" t="s">
        <v>19874</v>
      </c>
      <c r="L73" s="13" t="str">
        <f>HYPERLINK("http://asia.ensembl.org/Homo_sapiens/Gene/Summary?g=ENSG00000162458", "ENSG00000162458")</f>
        <v>ENSG00000162458</v>
      </c>
      <c r="M73" s="12" t="s">
        <v>19875</v>
      </c>
      <c r="N73" s="12" t="s">
        <v>19876</v>
      </c>
    </row>
    <row r="74" spans="1:14">
      <c r="A74" s="12" t="s">
        <v>6854</v>
      </c>
      <c r="B74" s="8">
        <v>288.33465739655799</v>
      </c>
      <c r="C74" s="12">
        <v>1378.2803861550699</v>
      </c>
      <c r="D74" s="8">
        <v>-2.2570532458833701</v>
      </c>
      <c r="E74" s="12">
        <v>3.0287367594773301E-4</v>
      </c>
      <c r="F74" s="8" t="s">
        <v>6855</v>
      </c>
      <c r="G74" s="12" t="s">
        <v>18278</v>
      </c>
      <c r="H74" s="12">
        <v>1</v>
      </c>
      <c r="I74" s="13" t="str">
        <f>HYPERLINK("http://www.ncbi.nlm.nih.gov/gene/2519", "2519")</f>
        <v>2519</v>
      </c>
      <c r="J74" s="13" t="str">
        <f>HYPERLINK("http://www.ncbi.nlm.nih.gov/nuccore/NM_032020", "NM_032020")</f>
        <v>NM_032020</v>
      </c>
      <c r="K74" s="12" t="s">
        <v>6856</v>
      </c>
      <c r="L74" s="13" t="str">
        <f>HYPERLINK("http://asia.ensembl.org/Homo_sapiens/Gene/Summary?g=ENSG00000001036", "ENSG00000001036")</f>
        <v>ENSG00000001036</v>
      </c>
      <c r="M74" s="12" t="s">
        <v>18279</v>
      </c>
      <c r="N74" s="12" t="s">
        <v>18280</v>
      </c>
    </row>
    <row r="75" spans="1:14">
      <c r="A75" s="12" t="s">
        <v>9408</v>
      </c>
      <c r="B75" s="8">
        <v>701.68944570765404</v>
      </c>
      <c r="C75" s="12">
        <v>3349.9683189225102</v>
      </c>
      <c r="D75" s="8">
        <v>-2.2552428841457202</v>
      </c>
      <c r="E75" s="12">
        <v>5.7352353355855903E-4</v>
      </c>
      <c r="F75" s="8" t="s">
        <v>9409</v>
      </c>
      <c r="G75" s="12" t="s">
        <v>9410</v>
      </c>
      <c r="H75" s="12">
        <v>1</v>
      </c>
      <c r="I75" s="13" t="str">
        <f>HYPERLINK("http://www.ncbi.nlm.nih.gov/gene/100130958", "100130958")</f>
        <v>100130958</v>
      </c>
      <c r="J75" s="13" t="str">
        <f>HYPERLINK("http://www.ncbi.nlm.nih.gov/nuccore/NM_001129979", "NM_001129979")</f>
        <v>NM_001129979</v>
      </c>
      <c r="K75" s="12" t="s">
        <v>9411</v>
      </c>
      <c r="L75" s="13" t="str">
        <f>HYPERLINK("http://asia.ensembl.org/Homo_sapiens/Gene/Summary?g=ENSG00000205078", "ENSG00000205078")</f>
        <v>ENSG00000205078</v>
      </c>
      <c r="M75" s="12" t="s">
        <v>19147</v>
      </c>
      <c r="N75" s="12" t="s">
        <v>19148</v>
      </c>
    </row>
    <row r="76" spans="1:14">
      <c r="A76" s="12" t="s">
        <v>5929</v>
      </c>
      <c r="B76" s="8">
        <v>50.794442765079097</v>
      </c>
      <c r="C76" s="12">
        <v>241.98305283080501</v>
      </c>
      <c r="D76" s="8">
        <v>-2.2521634418341101</v>
      </c>
      <c r="E76" s="12">
        <v>2.9208231435827101E-4</v>
      </c>
      <c r="F76" s="8" t="s">
        <v>5930</v>
      </c>
      <c r="G76" s="12" t="s">
        <v>18015</v>
      </c>
      <c r="H76" s="12">
        <v>1</v>
      </c>
      <c r="I76" s="13" t="str">
        <f>HYPERLINK("http://www.ncbi.nlm.nih.gov/gene/10252", "10252")</f>
        <v>10252</v>
      </c>
      <c r="J76" s="12" t="s">
        <v>18016</v>
      </c>
      <c r="K76" s="12" t="s">
        <v>18017</v>
      </c>
      <c r="L76" s="13" t="str">
        <f>HYPERLINK("http://asia.ensembl.org/Homo_sapiens/Gene/Summary?g=ENSG00000164056", "ENSG00000164056")</f>
        <v>ENSG00000164056</v>
      </c>
      <c r="M76" s="12" t="s">
        <v>18018</v>
      </c>
      <c r="N76" s="12" t="s">
        <v>18019</v>
      </c>
    </row>
    <row r="77" spans="1:14">
      <c r="A77" s="12" t="s">
        <v>9666</v>
      </c>
      <c r="B77" s="8">
        <v>2143.4031175169798</v>
      </c>
      <c r="C77" s="12">
        <v>10156.9918423651</v>
      </c>
      <c r="D77" s="8">
        <v>-2.2444980743884502</v>
      </c>
      <c r="E77" s="12">
        <v>3.88515532182763E-4</v>
      </c>
      <c r="F77" s="8" t="s">
        <v>9667</v>
      </c>
      <c r="G77" s="12" t="s">
        <v>19251</v>
      </c>
      <c r="H77" s="12">
        <v>1</v>
      </c>
      <c r="I77" s="13" t="str">
        <f>HYPERLINK("http://www.ncbi.nlm.nih.gov/gene/4435", "4435")</f>
        <v>4435</v>
      </c>
      <c r="J77" s="12" t="s">
        <v>19252</v>
      </c>
      <c r="K77" s="12" t="s">
        <v>19253</v>
      </c>
      <c r="L77" s="13" t="str">
        <f>HYPERLINK("http://asia.ensembl.org/Homo_sapiens/Gene/Summary?g=ENSG00000125931", "ENSG00000125931")</f>
        <v>ENSG00000125931</v>
      </c>
      <c r="M77" s="12" t="s">
        <v>19254</v>
      </c>
      <c r="N77" s="12" t="s">
        <v>19255</v>
      </c>
    </row>
    <row r="78" spans="1:14">
      <c r="A78" s="12" t="s">
        <v>3228</v>
      </c>
      <c r="B78" s="8">
        <v>123.843619959115</v>
      </c>
      <c r="C78" s="12">
        <v>583.80740032674998</v>
      </c>
      <c r="D78" s="8">
        <v>-2.2369729512142</v>
      </c>
      <c r="E78" s="12">
        <v>1.4766952977621399E-3</v>
      </c>
      <c r="F78" s="8" t="s">
        <v>3229</v>
      </c>
      <c r="G78" s="12" t="s">
        <v>3230</v>
      </c>
      <c r="H78" s="12">
        <v>1</v>
      </c>
      <c r="I78" s="13" t="str">
        <f>HYPERLINK("http://www.ncbi.nlm.nih.gov/gene/2019", "2019")</f>
        <v>2019</v>
      </c>
      <c r="J78" s="13" t="str">
        <f>HYPERLINK("http://www.ncbi.nlm.nih.gov/nuccore/NM_001426", "NM_001426")</f>
        <v>NM_001426</v>
      </c>
      <c r="K78" s="12" t="s">
        <v>3231</v>
      </c>
      <c r="L78" s="13" t="str">
        <f>HYPERLINK("http://asia.ensembl.org/Homo_sapiens/Gene/Summary?g=ENSG00000163064", "ENSG00000163064")</f>
        <v>ENSG00000163064</v>
      </c>
      <c r="M78" s="12" t="s">
        <v>17250</v>
      </c>
      <c r="N78" s="12" t="s">
        <v>3232</v>
      </c>
    </row>
    <row r="79" spans="1:14">
      <c r="A79" s="12" t="s">
        <v>5728</v>
      </c>
      <c r="B79" s="8">
        <v>435.99278056061598</v>
      </c>
      <c r="C79" s="12">
        <v>2038.17195961315</v>
      </c>
      <c r="D79" s="8">
        <v>-2.2248996248716302</v>
      </c>
      <c r="E79" s="12">
        <v>9.7313925410341402E-4</v>
      </c>
      <c r="F79" s="8" t="s">
        <v>5729</v>
      </c>
      <c r="G79" s="12" t="s">
        <v>5730</v>
      </c>
      <c r="H79" s="12">
        <v>1</v>
      </c>
      <c r="I79" s="13" t="str">
        <f>HYPERLINK("http://www.ncbi.nlm.nih.gov/gene/9985", "9985")</f>
        <v>9985</v>
      </c>
      <c r="J79" s="12" t="s">
        <v>17951</v>
      </c>
      <c r="K79" s="12" t="s">
        <v>17952</v>
      </c>
      <c r="L79" s="13" t="str">
        <f>HYPERLINK("http://asia.ensembl.org/Homo_sapiens/Gene/Summary?g=ENSG00000100918", "ENSG00000100918")</f>
        <v>ENSG00000100918</v>
      </c>
      <c r="M79" s="12" t="s">
        <v>17953</v>
      </c>
      <c r="N79" s="12" t="s">
        <v>17954</v>
      </c>
    </row>
    <row r="80" spans="1:14">
      <c r="A80" s="12" t="s">
        <v>5592</v>
      </c>
      <c r="B80" s="8">
        <v>12109.5872130891</v>
      </c>
      <c r="C80" s="12">
        <v>56498.8239525155</v>
      </c>
      <c r="D80" s="8">
        <v>-2.2220711496768502</v>
      </c>
      <c r="E80" s="12">
        <v>5.3860172389424499E-4</v>
      </c>
      <c r="F80" s="8" t="s">
        <v>5593</v>
      </c>
      <c r="G80" s="12" t="s">
        <v>5594</v>
      </c>
      <c r="H80" s="12">
        <v>1</v>
      </c>
      <c r="I80" s="13" t="str">
        <f>HYPERLINK("http://www.ncbi.nlm.nih.gov/gene/29085", "29085")</f>
        <v>29085</v>
      </c>
      <c r="J80" s="12" t="s">
        <v>17912</v>
      </c>
      <c r="K80" s="12" t="s">
        <v>17913</v>
      </c>
      <c r="L80" s="13" t="str">
        <f>HYPERLINK("http://asia.ensembl.org/Homo_sapiens/Gene/Summary?g=ENSG00000054148", "ENSG00000054148")</f>
        <v>ENSG00000054148</v>
      </c>
      <c r="M80" s="12" t="s">
        <v>17914</v>
      </c>
      <c r="N80" s="12" t="s">
        <v>17915</v>
      </c>
    </row>
    <row r="81" spans="1:14">
      <c r="A81" s="12" t="s">
        <v>11126</v>
      </c>
      <c r="B81" s="8">
        <v>50.794442765079097</v>
      </c>
      <c r="C81" s="12">
        <v>235.47997167551301</v>
      </c>
      <c r="D81" s="8">
        <v>-2.2128617884944699</v>
      </c>
      <c r="E81" s="12">
        <v>1.11627708076556E-4</v>
      </c>
      <c r="F81" s="8" t="s">
        <v>38</v>
      </c>
      <c r="G81" s="12" t="s">
        <v>38</v>
      </c>
      <c r="H81" s="12">
        <v>1</v>
      </c>
      <c r="I81" s="12" t="s">
        <v>38</v>
      </c>
      <c r="J81" s="12" t="s">
        <v>38</v>
      </c>
      <c r="K81" s="12" t="s">
        <v>38</v>
      </c>
      <c r="L81" s="13" t="str">
        <f>HYPERLINK("http://asia.ensembl.org/Homo_sapiens/Gene/Summary?g=ENSG00000082497", "ENSG00000082497")</f>
        <v>ENSG00000082497</v>
      </c>
      <c r="M81" s="12" t="s">
        <v>11127</v>
      </c>
      <c r="N81" s="12" t="s">
        <v>6108</v>
      </c>
    </row>
    <row r="82" spans="1:14">
      <c r="A82" s="12" t="s">
        <v>11653</v>
      </c>
      <c r="B82" s="8">
        <v>269.79598747922</v>
      </c>
      <c r="C82" s="12">
        <v>1245.69587559105</v>
      </c>
      <c r="D82" s="8">
        <v>-2.2070110943472399</v>
      </c>
      <c r="E82" s="12">
        <v>1.31216535085749E-2</v>
      </c>
      <c r="F82" s="8" t="s">
        <v>11543</v>
      </c>
      <c r="G82" s="12" t="s">
        <v>11654</v>
      </c>
      <c r="H82" s="12">
        <v>1</v>
      </c>
      <c r="I82" s="13" t="str">
        <f>HYPERLINK("http://www.ncbi.nlm.nih.gov/gene/100130370", "100130370")</f>
        <v>100130370</v>
      </c>
      <c r="J82" s="13" t="str">
        <f>HYPERLINK("http://www.ncbi.nlm.nih.gov/nuccore/XM_011524140", "XM_011524140")</f>
        <v>XM_011524140</v>
      </c>
      <c r="K82" s="12" t="s">
        <v>11655</v>
      </c>
      <c r="L82" s="12" t="s">
        <v>38</v>
      </c>
      <c r="M82" s="12" t="s">
        <v>38</v>
      </c>
      <c r="N82" s="12" t="s">
        <v>38</v>
      </c>
    </row>
    <row r="83" spans="1:14">
      <c r="A83" s="12" t="s">
        <v>10505</v>
      </c>
      <c r="B83" s="8">
        <v>50</v>
      </c>
      <c r="C83" s="12">
        <v>225.97785898180601</v>
      </c>
      <c r="D83" s="8">
        <v>-2.1761814261716501</v>
      </c>
      <c r="E83" s="12">
        <v>1.67639441561198E-4</v>
      </c>
      <c r="F83" s="8" t="s">
        <v>4297</v>
      </c>
      <c r="G83" s="12" t="s">
        <v>4298</v>
      </c>
      <c r="H83" s="12">
        <v>1</v>
      </c>
      <c r="I83" s="13" t="str">
        <f>HYPERLINK("http://www.ncbi.nlm.nih.gov/gene/285600", "285600")</f>
        <v>285600</v>
      </c>
      <c r="J83" s="13" t="str">
        <f>HYPERLINK("http://www.ncbi.nlm.nih.gov/nuccore/NM_001145678", "NM_001145678")</f>
        <v>NM_001145678</v>
      </c>
      <c r="K83" s="12" t="s">
        <v>4299</v>
      </c>
      <c r="L83" s="13" t="str">
        <f>HYPERLINK("http://asia.ensembl.org/Homo_sapiens/Gene/Summary?g=ENSG00000185261", "ENSG00000185261")</f>
        <v>ENSG00000185261</v>
      </c>
      <c r="M83" s="12" t="s">
        <v>18263</v>
      </c>
      <c r="N83" s="12" t="s">
        <v>18264</v>
      </c>
    </row>
    <row r="84" spans="1:14">
      <c r="A84" s="12" t="s">
        <v>9972</v>
      </c>
      <c r="B84" s="8">
        <v>955.09884628966904</v>
      </c>
      <c r="C84" s="12">
        <v>4306.5829961275604</v>
      </c>
      <c r="D84" s="8">
        <v>-2.1728216798437101</v>
      </c>
      <c r="E84" s="12">
        <v>2.43625354649931E-4</v>
      </c>
      <c r="F84" s="8" t="s">
        <v>8573</v>
      </c>
      <c r="G84" s="12" t="s">
        <v>8574</v>
      </c>
      <c r="H84" s="12">
        <v>1</v>
      </c>
      <c r="I84" s="13" t="str">
        <f>HYPERLINK("http://www.ncbi.nlm.nih.gov/gene/948", "948")</f>
        <v>948</v>
      </c>
      <c r="J84" s="12" t="s">
        <v>19487</v>
      </c>
      <c r="K84" s="12" t="s">
        <v>19488</v>
      </c>
      <c r="L84" s="13" t="str">
        <f>HYPERLINK("http://asia.ensembl.org/Homo_sapiens/Gene/Summary?g=ENSG00000135218", "ENSG00000135218")</f>
        <v>ENSG00000135218</v>
      </c>
      <c r="M84" s="12" t="s">
        <v>18920</v>
      </c>
      <c r="N84" s="12" t="s">
        <v>18921</v>
      </c>
    </row>
    <row r="85" spans="1:14">
      <c r="A85" s="12" t="s">
        <v>10604</v>
      </c>
      <c r="B85" s="8">
        <v>595.21763222574998</v>
      </c>
      <c r="C85" s="12">
        <v>2673.3514973913898</v>
      </c>
      <c r="D85" s="8">
        <v>-2.1671603689940899</v>
      </c>
      <c r="E85" s="12">
        <v>2.5251801327273501E-3</v>
      </c>
      <c r="F85" s="8" t="s">
        <v>7676</v>
      </c>
      <c r="G85" s="12" t="s">
        <v>7677</v>
      </c>
      <c r="H85" s="12">
        <v>1</v>
      </c>
      <c r="I85" s="13" t="str">
        <f>HYPERLINK("http://www.ncbi.nlm.nih.gov/gene/5923", "5923")</f>
        <v>5923</v>
      </c>
      <c r="J85" s="12" t="s">
        <v>19800</v>
      </c>
      <c r="K85" s="12" t="s">
        <v>19801</v>
      </c>
      <c r="L85" s="13" t="str">
        <f>HYPERLINK("http://asia.ensembl.org/Homo_sapiens/Gene/Summary?g=ENSG00000058335", "ENSG00000058335")</f>
        <v>ENSG00000058335</v>
      </c>
      <c r="M85" s="12" t="s">
        <v>19802</v>
      </c>
      <c r="N85" s="12" t="s">
        <v>19803</v>
      </c>
    </row>
    <row r="86" spans="1:14">
      <c r="A86" s="12" t="s">
        <v>8546</v>
      </c>
      <c r="B86" s="8">
        <v>316.50750676822099</v>
      </c>
      <c r="C86" s="12">
        <v>1420.18968766484</v>
      </c>
      <c r="D86" s="8">
        <v>-2.1657720138942902</v>
      </c>
      <c r="E86" s="12">
        <v>2.0265231264069202E-3</v>
      </c>
      <c r="F86" s="8" t="s">
        <v>8547</v>
      </c>
      <c r="G86" s="12" t="s">
        <v>18900</v>
      </c>
      <c r="H86" s="12">
        <v>1</v>
      </c>
      <c r="I86" s="13" t="str">
        <f>HYPERLINK("http://www.ncbi.nlm.nih.gov/gene/153328", "153328")</f>
        <v>153328</v>
      </c>
      <c r="J86" s="13" t="str">
        <f>HYPERLINK("http://www.ncbi.nlm.nih.gov/nuccore/NM_145282", "NM_145282")</f>
        <v>NM_145282</v>
      </c>
      <c r="K86" s="12" t="s">
        <v>8548</v>
      </c>
      <c r="L86" s="13" t="str">
        <f>HYPERLINK("http://asia.ensembl.org/Homo_sapiens/Gene/Summary?g=ENSG00000145832", "ENSG00000145832")</f>
        <v>ENSG00000145832</v>
      </c>
      <c r="M86" s="12" t="s">
        <v>18901</v>
      </c>
      <c r="N86" s="12" t="s">
        <v>18902</v>
      </c>
    </row>
    <row r="87" spans="1:14">
      <c r="A87" s="12" t="s">
        <v>10341</v>
      </c>
      <c r="B87" s="8">
        <v>4350.1779285042903</v>
      </c>
      <c r="C87" s="12">
        <v>19453.019223597399</v>
      </c>
      <c r="D87" s="8">
        <v>-2.1608477718167398</v>
      </c>
      <c r="E87" s="12">
        <v>1.6586968063252698E-5</v>
      </c>
      <c r="F87" s="8" t="s">
        <v>10342</v>
      </c>
      <c r="G87" s="12" t="s">
        <v>19678</v>
      </c>
      <c r="H87" s="12">
        <v>1</v>
      </c>
      <c r="I87" s="13" t="str">
        <f>HYPERLINK("http://www.ncbi.nlm.nih.gov/gene/125050", "125050")</f>
        <v>125050</v>
      </c>
      <c r="J87" s="13" t="str">
        <f>HYPERLINK("http://www.ncbi.nlm.nih.gov/nuccore/NR_001445", "NR_001445")</f>
        <v>NR_001445</v>
      </c>
      <c r="K87" s="12" t="s">
        <v>199</v>
      </c>
      <c r="L87" s="13" t="str">
        <f>HYPERLINK("http://asia.ensembl.org/Homo_sapiens/Gene/Summary?g=ENSG00000202198", "ENSG00000202198")</f>
        <v>ENSG00000202198</v>
      </c>
      <c r="M87" s="12" t="s">
        <v>10343</v>
      </c>
    </row>
    <row r="88" spans="1:14">
      <c r="A88" s="12" t="s">
        <v>5991</v>
      </c>
      <c r="B88" s="8">
        <v>178.20877170700399</v>
      </c>
      <c r="C88" s="12">
        <v>788.10213905763703</v>
      </c>
      <c r="D88" s="8">
        <v>-2.14481426669062</v>
      </c>
      <c r="E88" s="12">
        <v>8.38544870649445E-3</v>
      </c>
      <c r="F88" s="8" t="s">
        <v>5992</v>
      </c>
      <c r="G88" s="12" t="s">
        <v>18024</v>
      </c>
      <c r="H88" s="12">
        <v>1</v>
      </c>
      <c r="I88" s="13" t="str">
        <f>HYPERLINK("http://www.ncbi.nlm.nih.gov/gene/7113", "7113")</f>
        <v>7113</v>
      </c>
      <c r="J88" s="12" t="s">
        <v>18025</v>
      </c>
      <c r="K88" s="12" t="s">
        <v>18026</v>
      </c>
      <c r="L88" s="13" t="str">
        <f>HYPERLINK("http://asia.ensembl.org/Homo_sapiens/Gene/Summary?g=ENSG00000184012", "ENSG00000184012")</f>
        <v>ENSG00000184012</v>
      </c>
      <c r="M88" s="12" t="s">
        <v>18027</v>
      </c>
      <c r="N88" s="12" t="s">
        <v>18028</v>
      </c>
    </row>
    <row r="89" spans="1:14">
      <c r="A89" s="12" t="s">
        <v>9794</v>
      </c>
      <c r="B89" s="8">
        <v>53.273661009887398</v>
      </c>
      <c r="C89" s="12">
        <v>235.00228848478901</v>
      </c>
      <c r="D89" s="8">
        <v>-2.1411804734119402</v>
      </c>
      <c r="E89" s="12">
        <v>6.8123028247263101E-4</v>
      </c>
      <c r="F89" s="8" t="s">
        <v>9795</v>
      </c>
      <c r="G89" s="12" t="s">
        <v>357</v>
      </c>
      <c r="H89" s="12">
        <v>1</v>
      </c>
      <c r="I89" s="13" t="str">
        <f>HYPERLINK("http://www.ncbi.nlm.nih.gov/gene/25817", "25817")</f>
        <v>25817</v>
      </c>
      <c r="J89" s="12" t="s">
        <v>19336</v>
      </c>
      <c r="K89" s="12" t="s">
        <v>19337</v>
      </c>
      <c r="L89" s="13" t="str">
        <f>HYPERLINK("http://asia.ensembl.org/Homo_sapiens/Gene/Summary?g=ENSG00000219438", "ENSG00000219438")</f>
        <v>ENSG00000219438</v>
      </c>
      <c r="M89" s="12" t="s">
        <v>19338</v>
      </c>
      <c r="N89" s="12" t="s">
        <v>19339</v>
      </c>
    </row>
    <row r="90" spans="1:14">
      <c r="A90" s="12" t="s">
        <v>11490</v>
      </c>
      <c r="B90" s="8">
        <v>1080.70160422137</v>
      </c>
      <c r="C90" s="12">
        <v>4766.2972047742896</v>
      </c>
      <c r="D90" s="8">
        <v>-2.1409006831033102</v>
      </c>
      <c r="E90" s="12">
        <v>7.5718981335731598E-4</v>
      </c>
      <c r="F90" s="8" t="s">
        <v>11491</v>
      </c>
      <c r="G90" s="12" t="s">
        <v>11492</v>
      </c>
      <c r="H90" s="12">
        <v>4</v>
      </c>
      <c r="I90" s="12" t="s">
        <v>11493</v>
      </c>
      <c r="J90" s="12" t="s">
        <v>20119</v>
      </c>
      <c r="K90" s="12" t="s">
        <v>20120</v>
      </c>
      <c r="L90" s="13" t="str">
        <f>HYPERLINK("http://asia.ensembl.org/Homo_sapiens/Gene/Summary?g=ENSG00000281741", "ENSG00000281741")</f>
        <v>ENSG00000281741</v>
      </c>
      <c r="M90" s="12" t="s">
        <v>11494</v>
      </c>
      <c r="N90" s="12" t="s">
        <v>11495</v>
      </c>
    </row>
    <row r="91" spans="1:14">
      <c r="A91" s="12" t="s">
        <v>9266</v>
      </c>
      <c r="B91" s="8">
        <v>1135.3603859674699</v>
      </c>
      <c r="C91" s="12">
        <v>5001.02466723212</v>
      </c>
      <c r="D91" s="8">
        <v>-2.1390734107527298</v>
      </c>
      <c r="E91" s="12">
        <v>1.15213638778624E-3</v>
      </c>
      <c r="F91" s="8" t="s">
        <v>9267</v>
      </c>
      <c r="G91" s="12" t="s">
        <v>19114</v>
      </c>
      <c r="H91" s="12">
        <v>1</v>
      </c>
      <c r="I91" s="13" t="str">
        <f>HYPERLINK("http://www.ncbi.nlm.nih.gov/gene/441639", "441639")</f>
        <v>441639</v>
      </c>
      <c r="J91" s="13" t="str">
        <f>HYPERLINK("http://www.ncbi.nlm.nih.gov/nuccore/NM_001005243", "NM_001005243")</f>
        <v>NM_001005243</v>
      </c>
      <c r="K91" s="12" t="s">
        <v>9268</v>
      </c>
      <c r="L91" s="13" t="str">
        <f>HYPERLINK("http://asia.ensembl.org/Homo_sapiens/Gene/Summary?g=ENSG00000170605", "ENSG00000170605")</f>
        <v>ENSG00000170605</v>
      </c>
      <c r="M91" s="12" t="s">
        <v>9269</v>
      </c>
      <c r="N91" s="12" t="s">
        <v>9270</v>
      </c>
    </row>
    <row r="92" spans="1:14">
      <c r="A92" s="12" t="s">
        <v>2168</v>
      </c>
      <c r="B92" s="8">
        <v>378.72256541088899</v>
      </c>
      <c r="C92" s="12">
        <v>1666.1359394446399</v>
      </c>
      <c r="D92" s="8">
        <v>-2.1372928255513801</v>
      </c>
      <c r="E92" s="12">
        <v>7.6194492689670497E-4</v>
      </c>
      <c r="F92" s="8" t="s">
        <v>2169</v>
      </c>
      <c r="G92" s="12" t="s">
        <v>16953</v>
      </c>
      <c r="H92" s="12">
        <v>1</v>
      </c>
      <c r="I92" s="13" t="str">
        <f>HYPERLINK("http://www.ncbi.nlm.nih.gov/gene/3012", "3012")</f>
        <v>3012</v>
      </c>
      <c r="J92" s="13" t="str">
        <f>HYPERLINK("http://www.ncbi.nlm.nih.gov/nuccore/NM_021052", "NM_021052")</f>
        <v>NM_021052</v>
      </c>
      <c r="K92" s="12" t="s">
        <v>2170</v>
      </c>
      <c r="L92" s="13" t="str">
        <f>HYPERLINK("http://asia.ensembl.org/Homo_sapiens/Gene/Summary?g=ENSG00000277075", "ENSG00000277075")</f>
        <v>ENSG00000277075</v>
      </c>
      <c r="M92" s="12" t="s">
        <v>2171</v>
      </c>
      <c r="N92" s="12" t="s">
        <v>2172</v>
      </c>
    </row>
    <row r="93" spans="1:14">
      <c r="A93" s="12" t="s">
        <v>10335</v>
      </c>
      <c r="B93" s="8">
        <v>1792.51541638349</v>
      </c>
      <c r="C93" s="12">
        <v>7820.3073061739397</v>
      </c>
      <c r="D93" s="8">
        <v>-2.12523977391387</v>
      </c>
      <c r="E93" s="12">
        <v>4.5024563755867901E-3</v>
      </c>
      <c r="F93" s="8" t="s">
        <v>10336</v>
      </c>
      <c r="G93" s="12" t="s">
        <v>19672</v>
      </c>
      <c r="H93" s="12">
        <v>1</v>
      </c>
      <c r="I93" s="13" t="str">
        <f>HYPERLINK("http://www.ncbi.nlm.nih.gov/gene/80086", "80086")</f>
        <v>80086</v>
      </c>
      <c r="J93" s="13" t="str">
        <f>HYPERLINK("http://www.ncbi.nlm.nih.gov/nuccore/NR_003063", "NR_003063")</f>
        <v>NR_003063</v>
      </c>
      <c r="K93" s="12" t="s">
        <v>199</v>
      </c>
      <c r="L93" s="12" t="s">
        <v>38</v>
      </c>
      <c r="M93" s="12" t="s">
        <v>38</v>
      </c>
      <c r="N93" s="12" t="s">
        <v>38</v>
      </c>
    </row>
    <row r="94" spans="1:14">
      <c r="A94" s="12" t="s">
        <v>8315</v>
      </c>
      <c r="B94" s="8">
        <v>8866.7013828484305</v>
      </c>
      <c r="C94" s="12">
        <v>38682.316417591697</v>
      </c>
      <c r="D94" s="8">
        <v>-2.1252047968111998</v>
      </c>
      <c r="E94" s="12">
        <v>1.84816665952316E-4</v>
      </c>
      <c r="F94" s="8" t="s">
        <v>8316</v>
      </c>
      <c r="G94" s="12" t="s">
        <v>8317</v>
      </c>
      <c r="H94" s="12">
        <v>1</v>
      </c>
      <c r="I94" s="13" t="str">
        <f>HYPERLINK("http://www.ncbi.nlm.nih.gov/gene/5617", "5617")</f>
        <v>5617</v>
      </c>
      <c r="J94" s="12" t="s">
        <v>18777</v>
      </c>
      <c r="K94" s="12" t="s">
        <v>18778</v>
      </c>
      <c r="L94" s="13" t="str">
        <f>HYPERLINK("http://asia.ensembl.org/Homo_sapiens/Gene/Summary?g=ENSG00000172179", "ENSG00000172179")</f>
        <v>ENSG00000172179</v>
      </c>
      <c r="M94" s="12" t="s">
        <v>18779</v>
      </c>
      <c r="N94" s="12" t="s">
        <v>18780</v>
      </c>
    </row>
    <row r="95" spans="1:14">
      <c r="A95" s="12" t="s">
        <v>559</v>
      </c>
      <c r="B95" s="8">
        <v>2610.4342137885501</v>
      </c>
      <c r="C95" s="12">
        <v>11345.9709164123</v>
      </c>
      <c r="D95" s="8">
        <v>-2.1198183644727</v>
      </c>
      <c r="E95" s="12">
        <v>2.26814909970019E-4</v>
      </c>
      <c r="F95" s="8" t="s">
        <v>560</v>
      </c>
      <c r="G95" s="12" t="s">
        <v>561</v>
      </c>
      <c r="H95" s="12">
        <v>1</v>
      </c>
      <c r="I95" s="13" t="str">
        <f>HYPERLINK("http://www.ncbi.nlm.nih.gov/gene/8722", "8722")</f>
        <v>8722</v>
      </c>
      <c r="J95" s="13" t="str">
        <f>HYPERLINK("http://www.ncbi.nlm.nih.gov/nuccore/NM_003793", "NM_003793")</f>
        <v>NM_003793</v>
      </c>
      <c r="K95" s="12" t="s">
        <v>562</v>
      </c>
      <c r="L95" s="13" t="str">
        <f>HYPERLINK("http://asia.ensembl.org/Homo_sapiens/Gene/Summary?g=ENSG00000174080", "ENSG00000174080")</f>
        <v>ENSG00000174080</v>
      </c>
      <c r="M95" s="12" t="s">
        <v>16374</v>
      </c>
      <c r="N95" s="12" t="s">
        <v>16375</v>
      </c>
    </row>
    <row r="96" spans="1:14">
      <c r="A96" s="12" t="s">
        <v>128</v>
      </c>
      <c r="B96" s="8">
        <v>50.063549368408196</v>
      </c>
      <c r="C96" s="12">
        <v>217.23756481132199</v>
      </c>
      <c r="D96" s="8">
        <v>-2.1174411132606998</v>
      </c>
      <c r="E96" s="12">
        <v>6.0148300640444899E-3</v>
      </c>
      <c r="F96" s="8" t="s">
        <v>129</v>
      </c>
      <c r="G96" s="12" t="s">
        <v>130</v>
      </c>
      <c r="H96" s="12">
        <v>1</v>
      </c>
      <c r="I96" s="13" t="str">
        <f>HYPERLINK("http://www.ncbi.nlm.nih.gov/gene/1806", "1806")</f>
        <v>1806</v>
      </c>
      <c r="J96" s="13" t="str">
        <f>HYPERLINK("http://www.ncbi.nlm.nih.gov/nuccore/NM_000110", "NM_000110")</f>
        <v>NM_000110</v>
      </c>
      <c r="K96" s="12" t="s">
        <v>131</v>
      </c>
      <c r="L96" s="13" t="str">
        <f>HYPERLINK("http://asia.ensembl.org/Homo_sapiens/Gene/Summary?g=ENSG00000188641", "ENSG00000188641")</f>
        <v>ENSG00000188641</v>
      </c>
      <c r="M96" s="12" t="s">
        <v>16258</v>
      </c>
      <c r="N96" s="12" t="s">
        <v>16259</v>
      </c>
    </row>
    <row r="97" spans="1:14">
      <c r="A97" s="12" t="s">
        <v>9245</v>
      </c>
      <c r="B97" s="8">
        <v>316.45405620518397</v>
      </c>
      <c r="C97" s="12">
        <v>1365.40117442274</v>
      </c>
      <c r="D97" s="8">
        <v>-2.1092569329292798</v>
      </c>
      <c r="E97" s="12">
        <v>1.65007819399482E-4</v>
      </c>
      <c r="F97" s="8" t="s">
        <v>9246</v>
      </c>
      <c r="G97" s="12" t="s">
        <v>19107</v>
      </c>
      <c r="H97" s="12">
        <v>1</v>
      </c>
      <c r="I97" s="13" t="str">
        <f>HYPERLINK("http://www.ncbi.nlm.nih.gov/gene/84659", "84659")</f>
        <v>84659</v>
      </c>
      <c r="J97" s="13" t="str">
        <f>HYPERLINK("http://www.ncbi.nlm.nih.gov/nuccore/NM_032572", "NM_032572")</f>
        <v>NM_032572</v>
      </c>
      <c r="K97" s="12" t="s">
        <v>9247</v>
      </c>
      <c r="L97" s="13" t="str">
        <f>HYPERLINK("http://asia.ensembl.org/Homo_sapiens/Gene/Summary?g=ENSG00000165799", "ENSG00000165799")</f>
        <v>ENSG00000165799</v>
      </c>
      <c r="M97" s="12" t="s">
        <v>19108</v>
      </c>
      <c r="N97" s="12" t="s">
        <v>19109</v>
      </c>
    </row>
    <row r="98" spans="1:14">
      <c r="A98" s="12" t="s">
        <v>7105</v>
      </c>
      <c r="B98" s="8">
        <v>1690.23750246185</v>
      </c>
      <c r="C98" s="12">
        <v>7289.7250657354198</v>
      </c>
      <c r="D98" s="8">
        <v>-2.1086384239140501</v>
      </c>
      <c r="E98" s="12">
        <v>2.89059242709362E-3</v>
      </c>
      <c r="F98" s="8" t="s">
        <v>7106</v>
      </c>
      <c r="G98" s="12" t="s">
        <v>18372</v>
      </c>
      <c r="H98" s="12">
        <v>1</v>
      </c>
      <c r="I98" s="13" t="str">
        <f>HYPERLINK("http://www.ncbi.nlm.nih.gov/gene/84153", "84153")</f>
        <v>84153</v>
      </c>
      <c r="J98" s="13" t="str">
        <f>HYPERLINK("http://www.ncbi.nlm.nih.gov/nuccore/NM_032193", "NM_032193")</f>
        <v>NM_032193</v>
      </c>
      <c r="K98" s="12" t="s">
        <v>7107</v>
      </c>
      <c r="L98" s="13" t="str">
        <f>HYPERLINK("http://asia.ensembl.org/Homo_sapiens/Gene/Summary?g=ENSG00000172922", "ENSG00000172922")</f>
        <v>ENSG00000172922</v>
      </c>
      <c r="M98" s="12" t="s">
        <v>18373</v>
      </c>
      <c r="N98" s="12" t="s">
        <v>18374</v>
      </c>
    </row>
    <row r="99" spans="1:14">
      <c r="A99" s="12" t="s">
        <v>10308</v>
      </c>
      <c r="B99" s="8">
        <v>500.50803124569001</v>
      </c>
      <c r="C99" s="12">
        <v>2134.87376303163</v>
      </c>
      <c r="D99" s="8">
        <v>-2.0926856404230398</v>
      </c>
      <c r="E99" s="12">
        <v>2.42340725126638E-4</v>
      </c>
      <c r="F99" s="8" t="s">
        <v>5325</v>
      </c>
      <c r="G99" s="12" t="s">
        <v>5326</v>
      </c>
      <c r="H99" s="12">
        <v>1</v>
      </c>
      <c r="I99" s="13" t="str">
        <f>HYPERLINK("http://www.ncbi.nlm.nih.gov/gene/25927", "25927")</f>
        <v>25927</v>
      </c>
      <c r="J99" s="12" t="s">
        <v>19662</v>
      </c>
      <c r="K99" s="12" t="s">
        <v>19663</v>
      </c>
      <c r="L99" s="13" t="str">
        <f>HYPERLINK("http://asia.ensembl.org/Homo_sapiens/Gene/Summary?g=ENSG00000119865", "ENSG00000119865")</f>
        <v>ENSG00000119865</v>
      </c>
      <c r="M99" s="12" t="s">
        <v>17847</v>
      </c>
      <c r="N99" s="12" t="s">
        <v>17848</v>
      </c>
    </row>
    <row r="100" spans="1:14">
      <c r="A100" s="12" t="s">
        <v>8592</v>
      </c>
      <c r="B100" s="8">
        <v>189.12125685582799</v>
      </c>
      <c r="C100" s="12">
        <v>796.66023981907404</v>
      </c>
      <c r="D100" s="8">
        <v>-2.0746530453800398</v>
      </c>
      <c r="E100" s="12">
        <v>5.4833937331034099E-6</v>
      </c>
      <c r="F100" s="8" t="s">
        <v>8593</v>
      </c>
      <c r="G100" s="12" t="s">
        <v>8594</v>
      </c>
      <c r="H100" s="12">
        <v>1</v>
      </c>
      <c r="I100" s="13" t="str">
        <f>HYPERLINK("http://www.ncbi.nlm.nih.gov/gene/64925", "64925")</f>
        <v>64925</v>
      </c>
      <c r="J100" s="13" t="str">
        <f>HYPERLINK("http://www.ncbi.nlm.nih.gov/nuccore/NM_022903", "NM_022903")</f>
        <v>NM_022903</v>
      </c>
      <c r="K100" s="12" t="s">
        <v>8595</v>
      </c>
      <c r="L100" s="13" t="str">
        <f>HYPERLINK("http://asia.ensembl.org/Homo_sapiens/Gene/Summary?g=ENSG00000177352", "ENSG00000177352")</f>
        <v>ENSG00000177352</v>
      </c>
      <c r="M100" s="12" t="s">
        <v>8596</v>
      </c>
      <c r="N100" s="12" t="s">
        <v>8597</v>
      </c>
    </row>
    <row r="101" spans="1:14">
      <c r="A101" s="12" t="s">
        <v>7944</v>
      </c>
      <c r="B101" s="8">
        <v>52.5161584939693</v>
      </c>
      <c r="C101" s="12">
        <v>219.143110760616</v>
      </c>
      <c r="D101" s="8">
        <v>-2.06104003186435</v>
      </c>
      <c r="E101" s="12">
        <v>9.18712846886033E-3</v>
      </c>
      <c r="F101" s="8" t="s">
        <v>5760</v>
      </c>
      <c r="G101" s="12" t="s">
        <v>5761</v>
      </c>
      <c r="H101" s="12">
        <v>1</v>
      </c>
      <c r="I101" s="13" t="str">
        <f>HYPERLINK("http://www.ncbi.nlm.nih.gov/gene/201633", "201633")</f>
        <v>201633</v>
      </c>
      <c r="J101" s="13" t="str">
        <f>HYPERLINK("http://www.ncbi.nlm.nih.gov/nuccore/NM_173799", "NM_173799")</f>
        <v>NM_173799</v>
      </c>
      <c r="K101" s="12" t="s">
        <v>5762</v>
      </c>
      <c r="L101" s="13" t="str">
        <f>HYPERLINK("http://asia.ensembl.org/Homo_sapiens/Gene/Summary?g=ENSG00000181847", "ENSG00000181847")</f>
        <v>ENSG00000181847</v>
      </c>
      <c r="M101" s="12" t="s">
        <v>18679</v>
      </c>
      <c r="N101" s="12" t="s">
        <v>18680</v>
      </c>
    </row>
    <row r="102" spans="1:14">
      <c r="A102" s="12" t="s">
        <v>11718</v>
      </c>
      <c r="B102" s="8">
        <v>107.216665670271</v>
      </c>
      <c r="C102" s="12">
        <v>445.72311059248199</v>
      </c>
      <c r="D102" s="8">
        <v>-2.05561859158365</v>
      </c>
      <c r="E102" s="12">
        <v>1.37232034186568E-2</v>
      </c>
      <c r="F102" s="8" t="s">
        <v>38</v>
      </c>
      <c r="G102" s="12" t="s">
        <v>38</v>
      </c>
      <c r="H102" s="12">
        <v>1</v>
      </c>
      <c r="I102" s="12" t="s">
        <v>38</v>
      </c>
      <c r="J102" s="12" t="s">
        <v>38</v>
      </c>
      <c r="K102" s="12" t="s">
        <v>38</v>
      </c>
      <c r="L102" s="13" t="str">
        <f>HYPERLINK("http://asia.ensembl.org/Homo_sapiens/Gene/Summary?g=ENSG00000211968", "ENSG00000211968")</f>
        <v>ENSG00000211968</v>
      </c>
      <c r="M102" s="12" t="s">
        <v>11719</v>
      </c>
      <c r="N102" s="12" t="s">
        <v>11720</v>
      </c>
    </row>
    <row r="103" spans="1:14">
      <c r="A103" s="12" t="s">
        <v>4480</v>
      </c>
      <c r="B103" s="8">
        <v>2948.8593557255199</v>
      </c>
      <c r="C103" s="12">
        <v>12246.720413057799</v>
      </c>
      <c r="D103" s="8">
        <v>-2.0541665366221</v>
      </c>
      <c r="E103" s="12">
        <v>1.8138501425895199E-3</v>
      </c>
      <c r="F103" s="8" t="s">
        <v>4481</v>
      </c>
      <c r="G103" s="12" t="s">
        <v>4482</v>
      </c>
      <c r="H103" s="12">
        <v>1</v>
      </c>
      <c r="I103" s="13" t="str">
        <f>HYPERLINK("http://www.ncbi.nlm.nih.gov/gene/7035", "7035")</f>
        <v>7035</v>
      </c>
      <c r="J103" s="13" t="str">
        <f>HYPERLINK("http://www.ncbi.nlm.nih.gov/nuccore/NM_001032281", "NM_001032281")</f>
        <v>NM_001032281</v>
      </c>
      <c r="K103" s="12" t="s">
        <v>4483</v>
      </c>
      <c r="L103" s="13" t="str">
        <f>HYPERLINK("http://asia.ensembl.org/Homo_sapiens/Gene/Summary?g=ENSG00000003436", "ENSG00000003436")</f>
        <v>ENSG00000003436</v>
      </c>
      <c r="M103" s="12" t="s">
        <v>17695</v>
      </c>
      <c r="N103" s="12" t="s">
        <v>17696</v>
      </c>
    </row>
    <row r="104" spans="1:14">
      <c r="A104" s="12" t="s">
        <v>1622</v>
      </c>
      <c r="B104" s="8">
        <v>513.99868466416797</v>
      </c>
      <c r="C104" s="12">
        <v>2134.3445693960598</v>
      </c>
      <c r="D104" s="8">
        <v>-2.0539565315560702</v>
      </c>
      <c r="E104" s="12">
        <v>3.3357486641135601E-3</v>
      </c>
      <c r="F104" s="8" t="s">
        <v>1623</v>
      </c>
      <c r="G104" s="12" t="s">
        <v>1624</v>
      </c>
      <c r="H104" s="12">
        <v>1</v>
      </c>
      <c r="I104" s="13" t="str">
        <f>HYPERLINK("http://www.ncbi.nlm.nih.gov/gene/5997", "5997")</f>
        <v>5997</v>
      </c>
      <c r="J104" s="13" t="str">
        <f>HYPERLINK("http://www.ncbi.nlm.nih.gov/nuccore/NM_002923", "NM_002923")</f>
        <v>NM_002923</v>
      </c>
      <c r="K104" s="12" t="s">
        <v>1625</v>
      </c>
      <c r="L104" s="13" t="str">
        <f>HYPERLINK("http://asia.ensembl.org/Homo_sapiens/Gene/Summary?g=ENSG00000116741", "ENSG00000116741")</f>
        <v>ENSG00000116741</v>
      </c>
      <c r="M104" s="12" t="s">
        <v>16718</v>
      </c>
      <c r="N104" s="12" t="s">
        <v>1626</v>
      </c>
    </row>
    <row r="105" spans="1:14">
      <c r="A105" s="12" t="s">
        <v>11167</v>
      </c>
      <c r="B105" s="8">
        <v>799.41457481671</v>
      </c>
      <c r="C105" s="12">
        <v>3290.5427048748402</v>
      </c>
      <c r="D105" s="8">
        <v>-2.0413097642489499</v>
      </c>
      <c r="E105" s="12">
        <v>1.37013546002659E-2</v>
      </c>
      <c r="F105" s="8" t="s">
        <v>38</v>
      </c>
      <c r="G105" s="12" t="s">
        <v>38</v>
      </c>
      <c r="H105" s="12">
        <v>1</v>
      </c>
      <c r="I105" s="12" t="s">
        <v>38</v>
      </c>
      <c r="J105" s="12" t="s">
        <v>38</v>
      </c>
      <c r="K105" s="12" t="s">
        <v>38</v>
      </c>
      <c r="L105" s="13" t="str">
        <f>HYPERLINK("http://asia.ensembl.org/Homo_sapiens/Gene/Summary?g=ENSG00000065621", "ENSG00000065621")</f>
        <v>ENSG00000065621</v>
      </c>
      <c r="M105" s="12" t="s">
        <v>11168</v>
      </c>
      <c r="N105" s="12" t="s">
        <v>20000</v>
      </c>
    </row>
    <row r="106" spans="1:14">
      <c r="A106" s="12" t="s">
        <v>9613</v>
      </c>
      <c r="B106" s="8">
        <v>326.49478631743898</v>
      </c>
      <c r="C106" s="12">
        <v>1343.81908545951</v>
      </c>
      <c r="D106" s="8">
        <v>-2.0412070660913799</v>
      </c>
      <c r="E106" s="12">
        <v>7.6443291400283804E-4</v>
      </c>
      <c r="F106" s="8" t="s">
        <v>7486</v>
      </c>
      <c r="G106" s="12" t="s">
        <v>7487</v>
      </c>
      <c r="H106" s="12">
        <v>1</v>
      </c>
      <c r="I106" s="13" t="str">
        <f>HYPERLINK("http://www.ncbi.nlm.nih.gov/gene/3090", "3090")</f>
        <v>3090</v>
      </c>
      <c r="J106" s="12" t="s">
        <v>19226</v>
      </c>
      <c r="K106" s="12" t="s">
        <v>19227</v>
      </c>
      <c r="L106" s="13" t="str">
        <f>HYPERLINK("http://asia.ensembl.org/Homo_sapiens/Gene/Summary?g=ENSG00000177374", "ENSG00000177374")</f>
        <v>ENSG00000177374</v>
      </c>
      <c r="M106" s="12" t="s">
        <v>19228</v>
      </c>
      <c r="N106" s="12" t="s">
        <v>19229</v>
      </c>
    </row>
    <row r="107" spans="1:14">
      <c r="A107" s="12" t="s">
        <v>2200</v>
      </c>
      <c r="B107" s="8">
        <v>319.04689434560402</v>
      </c>
      <c r="C107" s="12">
        <v>1310.9950437771799</v>
      </c>
      <c r="D107" s="8">
        <v>-2.03882183568231</v>
      </c>
      <c r="E107" s="12">
        <v>7.7732371000615295E-4</v>
      </c>
      <c r="F107" s="8" t="s">
        <v>2201</v>
      </c>
      <c r="G107" s="12" t="s">
        <v>2202</v>
      </c>
      <c r="H107" s="12">
        <v>1</v>
      </c>
      <c r="I107" s="13" t="str">
        <f>HYPERLINK("http://www.ncbi.nlm.nih.gov/gene/130497", "130497")</f>
        <v>130497</v>
      </c>
      <c r="J107" s="13" t="str">
        <f>HYPERLINK("http://www.ncbi.nlm.nih.gov/nuccore/NM_145260", "NM_145260")</f>
        <v>NM_145260</v>
      </c>
      <c r="K107" s="12" t="s">
        <v>2203</v>
      </c>
      <c r="L107" s="13" t="str">
        <f>HYPERLINK("http://asia.ensembl.org/Homo_sapiens/Gene/Summary?g=ENSG00000143867", "ENSG00000143867")</f>
        <v>ENSG00000143867</v>
      </c>
      <c r="M107" s="12" t="s">
        <v>16958</v>
      </c>
      <c r="N107" s="12" t="s">
        <v>2204</v>
      </c>
    </row>
    <row r="108" spans="1:14">
      <c r="A108" s="12" t="s">
        <v>4082</v>
      </c>
      <c r="B108" s="8">
        <v>7651.3243779283102</v>
      </c>
      <c r="C108" s="12">
        <v>31207.920081785</v>
      </c>
      <c r="D108" s="8">
        <v>-2.0281308164426299</v>
      </c>
      <c r="E108" s="12">
        <v>4.1799213582220202E-4</v>
      </c>
      <c r="F108" s="8" t="s">
        <v>4083</v>
      </c>
      <c r="G108" s="12" t="s">
        <v>4084</v>
      </c>
      <c r="H108" s="12">
        <v>1</v>
      </c>
      <c r="I108" s="13" t="str">
        <f>HYPERLINK("http://www.ncbi.nlm.nih.gov/gene/138162", "138162")</f>
        <v>138162</v>
      </c>
      <c r="J108" s="12" t="s">
        <v>17543</v>
      </c>
      <c r="K108" s="12" t="s">
        <v>17544</v>
      </c>
      <c r="L108" s="13" t="str">
        <f>HYPERLINK("http://asia.ensembl.org/Homo_sapiens/Gene/Summary?g=ENSG00000160345", "ENSG00000160345")</f>
        <v>ENSG00000160345</v>
      </c>
      <c r="M108" s="12" t="s">
        <v>17545</v>
      </c>
      <c r="N108" s="12" t="s">
        <v>17546</v>
      </c>
    </row>
    <row r="109" spans="1:14">
      <c r="A109" s="12" t="s">
        <v>10101</v>
      </c>
      <c r="B109" s="8">
        <v>10058.6081181967</v>
      </c>
      <c r="C109" s="12">
        <v>40930.590548783497</v>
      </c>
      <c r="D109" s="8">
        <v>-2.02474879932694</v>
      </c>
      <c r="E109" s="12">
        <v>1.3267416928149801E-3</v>
      </c>
      <c r="F109" s="8" t="s">
        <v>7678</v>
      </c>
      <c r="G109" s="12" t="s">
        <v>104</v>
      </c>
      <c r="H109" s="12">
        <v>1</v>
      </c>
      <c r="I109" s="13" t="str">
        <f>HYPERLINK("http://www.ncbi.nlm.nih.gov/gene/51082", "51082")</f>
        <v>51082</v>
      </c>
      <c r="J109" s="13" t="str">
        <f>HYPERLINK("http://www.ncbi.nlm.nih.gov/nuccore/NM_015972", "NM_015972")</f>
        <v>NM_015972</v>
      </c>
      <c r="K109" s="12" t="s">
        <v>10102</v>
      </c>
      <c r="L109" s="13" t="str">
        <f>HYPERLINK("http://asia.ensembl.org/Homo_sapiens/Gene/Summary?g=ENSG00000186184", "ENSG00000186184")</f>
        <v>ENSG00000186184</v>
      </c>
      <c r="M109" s="12" t="s">
        <v>19541</v>
      </c>
      <c r="N109" s="12" t="s">
        <v>19542</v>
      </c>
    </row>
    <row r="110" spans="1:14">
      <c r="A110" s="12" t="s">
        <v>610</v>
      </c>
      <c r="B110" s="8">
        <v>56.968241145143999</v>
      </c>
      <c r="C110" s="12">
        <v>231.63347809077101</v>
      </c>
      <c r="D110" s="8">
        <v>-2.0236140119580202</v>
      </c>
      <c r="E110" s="12">
        <v>2.31039890928897E-4</v>
      </c>
      <c r="F110" s="8" t="s">
        <v>611</v>
      </c>
      <c r="G110" s="12" t="s">
        <v>612</v>
      </c>
      <c r="H110" s="12">
        <v>1</v>
      </c>
      <c r="I110" s="13" t="str">
        <f>HYPERLINK("http://www.ncbi.nlm.nih.gov/gene/79611", "79611")</f>
        <v>79611</v>
      </c>
      <c r="J110" s="13" t="str">
        <f>HYPERLINK("http://www.ncbi.nlm.nih.gov/nuccore/NM_024560", "NM_024560")</f>
        <v>NM_024560</v>
      </c>
      <c r="K110" s="12" t="s">
        <v>613</v>
      </c>
      <c r="L110" s="13" t="str">
        <f>HYPERLINK("http://asia.ensembl.org/Homo_sapiens/Gene/Summary?g=ENSG00000111058", "ENSG00000111058")</f>
        <v>ENSG00000111058</v>
      </c>
      <c r="M110" s="12" t="s">
        <v>16395</v>
      </c>
      <c r="N110" s="12" t="s">
        <v>16396</v>
      </c>
    </row>
    <row r="111" spans="1:14">
      <c r="A111" s="12" t="s">
        <v>10639</v>
      </c>
      <c r="B111" s="8">
        <v>796.99036390806998</v>
      </c>
      <c r="C111" s="12">
        <v>3238.05108942877</v>
      </c>
      <c r="D111" s="8">
        <v>-2.0224915620364801</v>
      </c>
      <c r="E111" s="12">
        <v>1.1816107621687301E-3</v>
      </c>
      <c r="F111" s="8" t="s">
        <v>1458</v>
      </c>
      <c r="G111" s="12" t="s">
        <v>1459</v>
      </c>
      <c r="H111" s="12">
        <v>1</v>
      </c>
      <c r="I111" s="13" t="str">
        <f>HYPERLINK("http://www.ncbi.nlm.nih.gov/gene/2045", "2045")</f>
        <v>2045</v>
      </c>
      <c r="J111" s="13" t="str">
        <f>HYPERLINK("http://www.ncbi.nlm.nih.gov/nuccore/NM_004440", "NM_004440")</f>
        <v>NM_004440</v>
      </c>
      <c r="K111" s="12" t="s">
        <v>1460</v>
      </c>
      <c r="L111" s="13" t="str">
        <f>HYPERLINK("http://asia.ensembl.org/Homo_sapiens/Gene/Summary?g=ENSG00000135333", "ENSG00000135333")</f>
        <v>ENSG00000135333</v>
      </c>
      <c r="M111" s="12" t="s">
        <v>19816</v>
      </c>
      <c r="N111" s="12" t="s">
        <v>19817</v>
      </c>
    </row>
    <row r="112" spans="1:14">
      <c r="A112" s="12" t="s">
        <v>8637</v>
      </c>
      <c r="B112" s="8">
        <v>18859.835749152699</v>
      </c>
      <c r="C112" s="12">
        <v>76467.134289295107</v>
      </c>
      <c r="D112" s="8">
        <v>-2.0195226965240902</v>
      </c>
      <c r="E112" s="12">
        <v>1.7140562529041499E-3</v>
      </c>
      <c r="F112" s="8" t="s">
        <v>7106</v>
      </c>
      <c r="G112" s="12" t="s">
        <v>18372</v>
      </c>
      <c r="H112" s="12">
        <v>1</v>
      </c>
      <c r="I112" s="13" t="str">
        <f>HYPERLINK("http://www.ncbi.nlm.nih.gov/gene/84153", "84153")</f>
        <v>84153</v>
      </c>
      <c r="J112" s="13" t="str">
        <f>HYPERLINK("http://www.ncbi.nlm.nih.gov/nuccore/NM_032193", "NM_032193")</f>
        <v>NM_032193</v>
      </c>
      <c r="K112" s="12" t="s">
        <v>7107</v>
      </c>
      <c r="L112" s="13" t="str">
        <f>HYPERLINK("http://asia.ensembl.org/Homo_sapiens/Gene/Summary?g=ENSG00000172922", "ENSG00000172922")</f>
        <v>ENSG00000172922</v>
      </c>
      <c r="M112" s="12" t="s">
        <v>18373</v>
      </c>
      <c r="N112" s="12" t="s">
        <v>18374</v>
      </c>
    </row>
    <row r="113" spans="1:14">
      <c r="A113" s="12" t="s">
        <v>11684</v>
      </c>
      <c r="B113" s="8">
        <v>2378.5215636509702</v>
      </c>
      <c r="C113" s="12">
        <v>9641.4652370950898</v>
      </c>
      <c r="D113" s="8">
        <v>-2.0191873081996601</v>
      </c>
      <c r="E113" s="12">
        <v>1.8975933161234401E-3</v>
      </c>
      <c r="F113" s="8" t="s">
        <v>38</v>
      </c>
      <c r="G113" s="12" t="s">
        <v>38</v>
      </c>
      <c r="H113" s="12">
        <v>1</v>
      </c>
      <c r="I113" s="12" t="s">
        <v>38</v>
      </c>
      <c r="J113" s="12" t="s">
        <v>38</v>
      </c>
      <c r="K113" s="12" t="s">
        <v>38</v>
      </c>
      <c r="L113" s="12" t="s">
        <v>11681</v>
      </c>
      <c r="M113" s="12" t="s">
        <v>11682</v>
      </c>
      <c r="N113" s="12" t="s">
        <v>11683</v>
      </c>
    </row>
    <row r="114" spans="1:14">
      <c r="A114" s="12" t="s">
        <v>8103</v>
      </c>
      <c r="B114" s="8">
        <v>49.999999999999901</v>
      </c>
      <c r="C114" s="12">
        <v>202.244770099709</v>
      </c>
      <c r="D114" s="8">
        <v>-2.0161023961100399</v>
      </c>
      <c r="E114" s="12">
        <v>6.8764210904819897E-3</v>
      </c>
      <c r="F114" s="8" t="s">
        <v>8104</v>
      </c>
      <c r="G114" s="12" t="s">
        <v>8105</v>
      </c>
      <c r="H114" s="12">
        <v>1</v>
      </c>
      <c r="I114" s="13" t="str">
        <f>HYPERLINK("http://www.ncbi.nlm.nih.gov/gene/388960", "388960")</f>
        <v>388960</v>
      </c>
      <c r="J114" s="13" t="str">
        <f>HYPERLINK("http://www.ncbi.nlm.nih.gov/nuccore/NM_001080474", "NM_001080474")</f>
        <v>NM_001080474</v>
      </c>
      <c r="K114" s="12" t="s">
        <v>8106</v>
      </c>
      <c r="L114" s="13" t="str">
        <f>HYPERLINK("http://asia.ensembl.org/Homo_sapiens/Gene/Summary?g=ENSG00000187833", "ENSG00000187833")</f>
        <v>ENSG00000187833</v>
      </c>
      <c r="M114" s="12" t="s">
        <v>8107</v>
      </c>
      <c r="N114" s="12" t="s">
        <v>8108</v>
      </c>
    </row>
    <row r="115" spans="1:14">
      <c r="A115" s="12" t="s">
        <v>7887</v>
      </c>
      <c r="B115" s="8">
        <v>136.34796471184899</v>
      </c>
      <c r="C115" s="12">
        <v>551.277825114601</v>
      </c>
      <c r="D115" s="8">
        <v>-2.0154864058105502</v>
      </c>
      <c r="E115" s="12">
        <v>4.9256248570844298E-5</v>
      </c>
      <c r="F115" s="8" t="s">
        <v>7888</v>
      </c>
      <c r="G115" s="12" t="s">
        <v>7889</v>
      </c>
      <c r="H115" s="12">
        <v>1</v>
      </c>
      <c r="I115" s="13" t="str">
        <f>HYPERLINK("http://www.ncbi.nlm.nih.gov/gene/2290", "2290")</f>
        <v>2290</v>
      </c>
      <c r="J115" s="13" t="str">
        <f>HYPERLINK("http://www.ncbi.nlm.nih.gov/nuccore/NM_005249", "NM_005249")</f>
        <v>NM_005249</v>
      </c>
      <c r="K115" s="12" t="s">
        <v>7890</v>
      </c>
      <c r="L115" s="13" t="str">
        <f>HYPERLINK("http://asia.ensembl.org/Homo_sapiens/Gene/Summary?g=ENSG00000176165", "ENSG00000176165")</f>
        <v>ENSG00000176165</v>
      </c>
      <c r="M115" s="12" t="s">
        <v>7891</v>
      </c>
      <c r="N115" s="12" t="s">
        <v>7892</v>
      </c>
    </row>
    <row r="116" spans="1:14">
      <c r="A116" s="12" t="s">
        <v>10446</v>
      </c>
      <c r="B116" s="8">
        <v>57.694955033452999</v>
      </c>
      <c r="C116" s="12">
        <v>230.71246657810099</v>
      </c>
      <c r="D116" s="8">
        <v>-1.99957888508953</v>
      </c>
      <c r="E116" s="12">
        <v>9.2396314685192101E-4</v>
      </c>
      <c r="F116" s="8" t="s">
        <v>10447</v>
      </c>
      <c r="G116" s="12" t="s">
        <v>10448</v>
      </c>
      <c r="H116" s="12">
        <v>1</v>
      </c>
      <c r="I116" s="13" t="str">
        <f>HYPERLINK("http://www.ncbi.nlm.nih.gov/gene/100129827", "100129827")</f>
        <v>100129827</v>
      </c>
      <c r="J116" s="12" t="s">
        <v>19741</v>
      </c>
      <c r="K116" s="12" t="s">
        <v>19742</v>
      </c>
      <c r="L116" s="13" t="str">
        <f>HYPERLINK("http://asia.ensembl.org/Homo_sapiens/Gene/Summary?g=ENSG00000177112", "ENSG00000177112")</f>
        <v>ENSG00000177112</v>
      </c>
      <c r="M116" s="12" t="s">
        <v>19743</v>
      </c>
    </row>
    <row r="117" spans="1:14">
      <c r="A117" s="12" t="s">
        <v>1328</v>
      </c>
      <c r="B117" s="8">
        <v>49.999999999999901</v>
      </c>
      <c r="C117" s="12">
        <v>199.358356237701</v>
      </c>
      <c r="D117" s="8">
        <v>-1.9953640781219599</v>
      </c>
      <c r="E117" s="12">
        <v>1.7665150698199301E-2</v>
      </c>
      <c r="F117" s="8" t="s">
        <v>1329</v>
      </c>
      <c r="G117" s="12" t="s">
        <v>1330</v>
      </c>
      <c r="H117" s="12">
        <v>1</v>
      </c>
      <c r="I117" s="13" t="str">
        <f>HYPERLINK("http://www.ncbi.nlm.nih.gov/gene/9214", "9214")</f>
        <v>9214</v>
      </c>
      <c r="J117" s="12" t="s">
        <v>16576</v>
      </c>
      <c r="K117" s="12" t="s">
        <v>16577</v>
      </c>
      <c r="L117" s="13" t="str">
        <f>HYPERLINK("http://asia.ensembl.org/Homo_sapiens/Gene/Summary?g=ENSG00000162894", "ENSG00000162894")</f>
        <v>ENSG00000162894</v>
      </c>
      <c r="M117" s="12" t="s">
        <v>16578</v>
      </c>
      <c r="N117" s="12" t="s">
        <v>16579</v>
      </c>
    </row>
    <row r="118" spans="1:14">
      <c r="A118" s="12" t="s">
        <v>7955</v>
      </c>
      <c r="B118" s="8">
        <v>2798.2144710661801</v>
      </c>
      <c r="C118" s="12">
        <v>11106.9892581898</v>
      </c>
      <c r="D118" s="8">
        <v>-1.9888893540386701</v>
      </c>
      <c r="E118" s="12">
        <v>4.3403452787481303E-3</v>
      </c>
      <c r="F118" s="8" t="s">
        <v>7956</v>
      </c>
      <c r="G118" s="12" t="s">
        <v>7957</v>
      </c>
      <c r="H118" s="12">
        <v>1</v>
      </c>
      <c r="I118" s="13" t="str">
        <f>HYPERLINK("http://www.ncbi.nlm.nih.gov/gene/4487", "4487")</f>
        <v>4487</v>
      </c>
      <c r="J118" s="13" t="str">
        <f>HYPERLINK("http://www.ncbi.nlm.nih.gov/nuccore/NM_002448", "NM_002448")</f>
        <v>NM_002448</v>
      </c>
      <c r="K118" s="12" t="s">
        <v>7958</v>
      </c>
      <c r="L118" s="13" t="str">
        <f>HYPERLINK("http://asia.ensembl.org/Homo_sapiens/Gene/Summary?g=ENSG00000163132", "ENSG00000163132")</f>
        <v>ENSG00000163132</v>
      </c>
      <c r="M118" s="12" t="s">
        <v>18689</v>
      </c>
      <c r="N118" s="12" t="s">
        <v>7959</v>
      </c>
    </row>
    <row r="119" spans="1:14">
      <c r="A119" s="12" t="s">
        <v>11128</v>
      </c>
      <c r="B119" s="8">
        <v>104.04945273761</v>
      </c>
      <c r="C119" s="12">
        <v>410.92733623463198</v>
      </c>
      <c r="D119" s="8">
        <v>-1.9816139294649899</v>
      </c>
      <c r="E119" s="12">
        <v>4.2821296482224301E-4</v>
      </c>
      <c r="F119" s="8" t="s">
        <v>8832</v>
      </c>
      <c r="G119" s="12" t="s">
        <v>18970</v>
      </c>
      <c r="H119" s="12">
        <v>1</v>
      </c>
      <c r="I119" s="13" t="str">
        <f>HYPERLINK("http://www.ncbi.nlm.nih.gov/gene/79789", "79789")</f>
        <v>79789</v>
      </c>
      <c r="J119" s="13" t="str">
        <f>HYPERLINK("http://www.ncbi.nlm.nih.gov/nuccore/NM_024734", "NM_024734")</f>
        <v>NM_024734</v>
      </c>
      <c r="K119" s="12" t="s">
        <v>8833</v>
      </c>
      <c r="L119" s="13" t="str">
        <f>HYPERLINK("http://asia.ensembl.org/Homo_sapiens/Gene/Summary?g=ENSG00000165959", "ENSG00000165959")</f>
        <v>ENSG00000165959</v>
      </c>
      <c r="M119" s="12" t="s">
        <v>18971</v>
      </c>
      <c r="N119" s="12" t="s">
        <v>18972</v>
      </c>
    </row>
    <row r="120" spans="1:14">
      <c r="A120" s="12" t="s">
        <v>8495</v>
      </c>
      <c r="B120" s="8">
        <v>557.99342972437398</v>
      </c>
      <c r="C120" s="12">
        <v>2203.3433799334098</v>
      </c>
      <c r="D120" s="8">
        <v>-1.98137430950956</v>
      </c>
      <c r="E120" s="12">
        <v>1.3738375238597101E-3</v>
      </c>
      <c r="F120" s="8" t="s">
        <v>8496</v>
      </c>
      <c r="G120" s="12" t="s">
        <v>8497</v>
      </c>
      <c r="H120" s="12">
        <v>1</v>
      </c>
      <c r="I120" s="13" t="str">
        <f>HYPERLINK("http://www.ncbi.nlm.nih.gov/gene/123688", "123688")</f>
        <v>123688</v>
      </c>
      <c r="J120" s="12" t="s">
        <v>18858</v>
      </c>
      <c r="K120" s="12" t="s">
        <v>18859</v>
      </c>
      <c r="L120" s="13" t="str">
        <f>HYPERLINK("http://asia.ensembl.org/Homo_sapiens/Gene/Summary?g=ENSG00000188266", "ENSG00000188266")</f>
        <v>ENSG00000188266</v>
      </c>
      <c r="M120" s="12" t="s">
        <v>18860</v>
      </c>
      <c r="N120" s="12" t="s">
        <v>18861</v>
      </c>
    </row>
    <row r="121" spans="1:14">
      <c r="A121" s="12" t="s">
        <v>3886</v>
      </c>
      <c r="B121" s="8">
        <v>347.30536912264802</v>
      </c>
      <c r="C121" s="12">
        <v>1353.0507594370199</v>
      </c>
      <c r="D121" s="8">
        <v>-1.96193934359121</v>
      </c>
      <c r="E121" s="12">
        <v>1.17696013624495E-2</v>
      </c>
      <c r="F121" s="8" t="s">
        <v>3887</v>
      </c>
      <c r="G121" s="12" t="s">
        <v>3888</v>
      </c>
      <c r="H121" s="12">
        <v>1</v>
      </c>
      <c r="I121" s="13" t="str">
        <f>HYPERLINK("http://www.ncbi.nlm.nih.gov/gene/283579", "283579")</f>
        <v>283579</v>
      </c>
      <c r="J121" s="12" t="s">
        <v>17462</v>
      </c>
      <c r="K121" s="12" t="s">
        <v>17463</v>
      </c>
      <c r="L121" s="13" t="str">
        <f>HYPERLINK("http://asia.ensembl.org/Homo_sapiens/Gene/Summary?g=ENSG00000197734", "ENSG00000197734")</f>
        <v>ENSG00000197734</v>
      </c>
      <c r="M121" s="12" t="s">
        <v>17464</v>
      </c>
      <c r="N121" s="12" t="s">
        <v>17465</v>
      </c>
    </row>
    <row r="122" spans="1:14">
      <c r="A122" s="12" t="s">
        <v>5639</v>
      </c>
      <c r="B122" s="8">
        <v>288.664748698008</v>
      </c>
      <c r="C122" s="12">
        <v>1123.3825684685401</v>
      </c>
      <c r="D122" s="8">
        <v>-1.96038247818926</v>
      </c>
      <c r="E122" s="12">
        <v>2.4934292975334299E-3</v>
      </c>
      <c r="F122" s="8" t="s">
        <v>5640</v>
      </c>
      <c r="G122" s="12" t="s">
        <v>5641</v>
      </c>
      <c r="H122" s="12">
        <v>4</v>
      </c>
      <c r="I122" s="12" t="s">
        <v>5642</v>
      </c>
      <c r="J122" s="12" t="s">
        <v>17926</v>
      </c>
      <c r="K122" s="12" t="s">
        <v>17927</v>
      </c>
      <c r="L122" s="12" t="s">
        <v>5643</v>
      </c>
      <c r="M122" s="12" t="s">
        <v>17928</v>
      </c>
      <c r="N122" s="12" t="s">
        <v>17929</v>
      </c>
    </row>
    <row r="123" spans="1:14">
      <c r="A123" s="12" t="s">
        <v>10108</v>
      </c>
      <c r="B123" s="8">
        <v>406.39548262568098</v>
      </c>
      <c r="C123" s="12">
        <v>1578.7192540129799</v>
      </c>
      <c r="D123" s="8">
        <v>-1.9577983666757801</v>
      </c>
      <c r="E123" s="12">
        <v>3.6186693294665902E-4</v>
      </c>
      <c r="F123" s="8" t="s">
        <v>10109</v>
      </c>
      <c r="G123" s="12" t="s">
        <v>19543</v>
      </c>
      <c r="H123" s="12">
        <v>1</v>
      </c>
      <c r="I123" s="13" t="str">
        <f>HYPERLINK("http://www.ncbi.nlm.nih.gov/gene/26818", "26818")</f>
        <v>26818</v>
      </c>
      <c r="J123" s="13" t="str">
        <f>HYPERLINK("http://www.ncbi.nlm.nih.gov/nuccore/NR_000020", "NR_000020")</f>
        <v>NR_000020</v>
      </c>
      <c r="K123" s="12" t="s">
        <v>199</v>
      </c>
      <c r="L123" s="13" t="str">
        <f>HYPERLINK("http://asia.ensembl.org/Homo_sapiens/Gene/Summary?g=ENSG00000199631", "ENSG00000199631")</f>
        <v>ENSG00000199631</v>
      </c>
      <c r="M123" s="12" t="s">
        <v>10110</v>
      </c>
    </row>
    <row r="124" spans="1:14">
      <c r="A124" s="12" t="s">
        <v>9991</v>
      </c>
      <c r="B124" s="8">
        <v>11796.532615024</v>
      </c>
      <c r="C124" s="12">
        <v>45801.952470522097</v>
      </c>
      <c r="D124" s="8">
        <v>-1.9570462327646301</v>
      </c>
      <c r="E124" s="12">
        <v>1.83793724333874E-3</v>
      </c>
      <c r="F124" s="8" t="s">
        <v>9992</v>
      </c>
      <c r="G124" s="12" t="s">
        <v>9993</v>
      </c>
      <c r="H124" s="12">
        <v>1</v>
      </c>
      <c r="I124" s="13" t="str">
        <f>HYPERLINK("http://www.ncbi.nlm.nih.gov/gene/154791", "154791")</f>
        <v>154791</v>
      </c>
      <c r="J124" s="12" t="s">
        <v>19494</v>
      </c>
      <c r="K124" s="12" t="s">
        <v>19495</v>
      </c>
      <c r="L124" s="13" t="str">
        <f>HYPERLINK("http://asia.ensembl.org/Homo_sapiens/Gene/Summary?g=ENSG00000164898", "ENSG00000164898")</f>
        <v>ENSG00000164898</v>
      </c>
      <c r="M124" s="12" t="s">
        <v>19496</v>
      </c>
      <c r="N124" s="12" t="s">
        <v>9994</v>
      </c>
    </row>
    <row r="125" spans="1:14">
      <c r="A125" s="12" t="s">
        <v>3362</v>
      </c>
      <c r="B125" s="8">
        <v>116.760884639707</v>
      </c>
      <c r="C125" s="12">
        <v>451.59964110585997</v>
      </c>
      <c r="D125" s="8">
        <v>-1.95148729299248</v>
      </c>
      <c r="E125" s="12">
        <v>5.0476859187816297E-4</v>
      </c>
      <c r="F125" s="8" t="s">
        <v>3363</v>
      </c>
      <c r="G125" s="12" t="s">
        <v>17287</v>
      </c>
      <c r="H125" s="12">
        <v>1</v>
      </c>
      <c r="I125" s="13" t="str">
        <f>HYPERLINK("http://www.ncbi.nlm.nih.gov/gene/116443", "116443")</f>
        <v>116443</v>
      </c>
      <c r="J125" s="13" t="str">
        <f>HYPERLINK("http://www.ncbi.nlm.nih.gov/nuccore/NM_133445", "NM_133445")</f>
        <v>NM_133445</v>
      </c>
      <c r="K125" s="12" t="s">
        <v>3364</v>
      </c>
      <c r="L125" s="13" t="str">
        <f>HYPERLINK("http://asia.ensembl.org/Homo_sapiens/Gene/Summary?g=ENSG00000198785", "ENSG00000198785")</f>
        <v>ENSG00000198785</v>
      </c>
      <c r="M125" s="12" t="s">
        <v>17288</v>
      </c>
      <c r="N125" s="12" t="s">
        <v>3365</v>
      </c>
    </row>
    <row r="126" spans="1:14">
      <c r="A126" s="12" t="s">
        <v>10370</v>
      </c>
      <c r="B126" s="8">
        <v>797.79807471607501</v>
      </c>
      <c r="C126" s="12">
        <v>3077.2703665561298</v>
      </c>
      <c r="D126" s="8">
        <v>-1.94755565633036</v>
      </c>
      <c r="E126" s="12">
        <v>2.7927252513880001E-3</v>
      </c>
      <c r="F126" s="8" t="s">
        <v>8986</v>
      </c>
      <c r="G126" s="12" t="s">
        <v>19700</v>
      </c>
      <c r="H126" s="12">
        <v>1</v>
      </c>
      <c r="I126" s="13" t="str">
        <f>HYPERLINK("http://www.ncbi.nlm.nih.gov/gene/388695", "388695")</f>
        <v>388695</v>
      </c>
      <c r="J126" s="12" t="s">
        <v>19701</v>
      </c>
      <c r="K126" s="12" t="s">
        <v>19702</v>
      </c>
      <c r="L126" s="13" t="str">
        <f>HYPERLINK("http://asia.ensembl.org/Homo_sapiens/Gene/Summary?g=ENSG00000163155", "ENSG00000163155")</f>
        <v>ENSG00000163155</v>
      </c>
      <c r="M126" s="12" t="s">
        <v>19703</v>
      </c>
      <c r="N126" s="12" t="s">
        <v>19704</v>
      </c>
    </row>
    <row r="127" spans="1:14">
      <c r="A127" s="12" t="s">
        <v>10586</v>
      </c>
      <c r="B127" s="8">
        <v>644.45596978597905</v>
      </c>
      <c r="C127" s="12">
        <v>2484.2065946039702</v>
      </c>
      <c r="D127" s="8">
        <v>-1.94663145776098</v>
      </c>
      <c r="E127" s="12">
        <v>7.4371686961563401E-4</v>
      </c>
      <c r="F127" s="8" t="s">
        <v>5835</v>
      </c>
      <c r="G127" s="12" t="s">
        <v>5836</v>
      </c>
      <c r="H127" s="12">
        <v>1</v>
      </c>
      <c r="I127" s="13" t="str">
        <f>HYPERLINK("http://www.ncbi.nlm.nih.gov/gene/114804", "114804")</f>
        <v>114804</v>
      </c>
      <c r="J127" s="13" t="str">
        <f>HYPERLINK("http://www.ncbi.nlm.nih.gov/nuccore/NM_052916", "NM_052916")</f>
        <v>NM_052916</v>
      </c>
      <c r="K127" s="12" t="s">
        <v>5837</v>
      </c>
      <c r="L127" s="13" t="str">
        <f>HYPERLINK("http://asia.ensembl.org/Homo_sapiens/Gene/Summary?g=ENSG00000141576", "ENSG00000141576")</f>
        <v>ENSG00000141576</v>
      </c>
      <c r="M127" s="12" t="s">
        <v>19789</v>
      </c>
      <c r="N127" s="12" t="s">
        <v>19790</v>
      </c>
    </row>
    <row r="128" spans="1:14">
      <c r="A128" s="12" t="s">
        <v>11640</v>
      </c>
      <c r="B128" s="8">
        <v>2592.4380515320699</v>
      </c>
      <c r="C128" s="12">
        <v>9950.3188688823102</v>
      </c>
      <c r="D128" s="8">
        <v>-1.9404332440921499</v>
      </c>
      <c r="E128" s="12">
        <v>1.8648992008235099E-4</v>
      </c>
      <c r="F128" s="8" t="s">
        <v>11641</v>
      </c>
      <c r="G128" s="12" t="s">
        <v>11642</v>
      </c>
      <c r="H128" s="12">
        <v>1</v>
      </c>
      <c r="I128" s="13" t="str">
        <f>HYPERLINK("http://www.ncbi.nlm.nih.gov/gene/6396", "6396")</f>
        <v>6396</v>
      </c>
      <c r="J128" s="12" t="s">
        <v>20166</v>
      </c>
      <c r="K128" s="12" t="s">
        <v>20167</v>
      </c>
      <c r="L128" s="13" t="str">
        <f>HYPERLINK("http://asia.ensembl.org/Homo_sapiens/Gene/Summary?g=ENSG00000157020", "ENSG00000157020")</f>
        <v>ENSG00000157020</v>
      </c>
      <c r="M128" s="12" t="s">
        <v>20168</v>
      </c>
      <c r="N128" s="12" t="s">
        <v>20169</v>
      </c>
    </row>
    <row r="129" spans="1:14">
      <c r="A129" s="12" t="s">
        <v>6377</v>
      </c>
      <c r="B129" s="8">
        <v>1450.66839464699</v>
      </c>
      <c r="C129" s="12">
        <v>5557.0327631604396</v>
      </c>
      <c r="D129" s="8">
        <v>-1.93759697180574</v>
      </c>
      <c r="E129" s="12">
        <v>7.83859232490714E-4</v>
      </c>
      <c r="F129" s="8" t="s">
        <v>6378</v>
      </c>
      <c r="G129" s="12" t="s">
        <v>18136</v>
      </c>
      <c r="H129" s="12">
        <v>1</v>
      </c>
      <c r="I129" s="13" t="str">
        <f>HYPERLINK("http://www.ncbi.nlm.nih.gov/gene/3859", "3859")</f>
        <v>3859</v>
      </c>
      <c r="J129" s="13" t="str">
        <f>HYPERLINK("http://www.ncbi.nlm.nih.gov/nuccore/NM_000223", "NM_000223")</f>
        <v>NM_000223</v>
      </c>
      <c r="K129" s="12" t="s">
        <v>6379</v>
      </c>
      <c r="L129" s="13" t="str">
        <f>HYPERLINK("http://asia.ensembl.org/Homo_sapiens/Gene/Summary?g=ENSG00000187242", "ENSG00000187242")</f>
        <v>ENSG00000187242</v>
      </c>
      <c r="M129" s="12" t="s">
        <v>6380</v>
      </c>
      <c r="N129" s="12" t="s">
        <v>6381</v>
      </c>
    </row>
    <row r="130" spans="1:14">
      <c r="A130" s="12" t="s">
        <v>10502</v>
      </c>
      <c r="B130" s="8">
        <v>385.03407210133901</v>
      </c>
      <c r="C130" s="12">
        <v>1452.13292930227</v>
      </c>
      <c r="D130" s="8">
        <v>-1.9151155024417199</v>
      </c>
      <c r="E130" s="12">
        <v>1.9216240611181501E-3</v>
      </c>
      <c r="F130" s="8" t="s">
        <v>8050</v>
      </c>
      <c r="G130" s="12" t="s">
        <v>18709</v>
      </c>
      <c r="H130" s="12">
        <v>1</v>
      </c>
      <c r="I130" s="13" t="str">
        <f>HYPERLINK("http://www.ncbi.nlm.nih.gov/gene/6092", "6092")</f>
        <v>6092</v>
      </c>
      <c r="J130" s="12" t="s">
        <v>18769</v>
      </c>
      <c r="K130" s="12" t="s">
        <v>18770</v>
      </c>
      <c r="L130" s="13" t="str">
        <f>HYPERLINK("http://asia.ensembl.org/Homo_sapiens/Gene/Summary?g=ENSG00000185008", "ENSG00000185008")</f>
        <v>ENSG00000185008</v>
      </c>
      <c r="M130" s="12" t="s">
        <v>18710</v>
      </c>
      <c r="N130" s="12" t="s">
        <v>18711</v>
      </c>
    </row>
    <row r="131" spans="1:14">
      <c r="A131" s="12" t="s">
        <v>6768</v>
      </c>
      <c r="B131" s="8">
        <v>996.254266514184</v>
      </c>
      <c r="C131" s="12">
        <v>3755.3640177955599</v>
      </c>
      <c r="D131" s="8">
        <v>-1.9143668562780001</v>
      </c>
      <c r="E131" s="12">
        <v>1.07195664100516E-4</v>
      </c>
      <c r="F131" s="8" t="s">
        <v>6769</v>
      </c>
      <c r="G131" s="12" t="s">
        <v>586</v>
      </c>
      <c r="H131" s="12">
        <v>1</v>
      </c>
      <c r="I131" s="13" t="str">
        <f>HYPERLINK("http://www.ncbi.nlm.nih.gov/gene/148170", "148170")</f>
        <v>148170</v>
      </c>
      <c r="J131" s="13" t="str">
        <f>HYPERLINK("http://www.ncbi.nlm.nih.gov/nuccore/NM_145057", "NM_145057")</f>
        <v>NM_145057</v>
      </c>
      <c r="K131" s="12" t="s">
        <v>6770</v>
      </c>
      <c r="L131" s="13" t="str">
        <f>HYPERLINK("http://asia.ensembl.org/Homo_sapiens/Gene/Summary?g=ENSG00000273622", "ENSG00000273622")</f>
        <v>ENSG00000273622</v>
      </c>
      <c r="M131" s="12" t="s">
        <v>18253</v>
      </c>
      <c r="N131" s="12" t="s">
        <v>18254</v>
      </c>
    </row>
    <row r="132" spans="1:14">
      <c r="A132" s="12" t="s">
        <v>10679</v>
      </c>
      <c r="B132" s="8">
        <v>503.463498547065</v>
      </c>
      <c r="C132" s="12">
        <v>1890.30539432104</v>
      </c>
      <c r="D132" s="8">
        <v>-1.9086602417333101</v>
      </c>
      <c r="E132" s="12">
        <v>2.2083441617113302E-3</v>
      </c>
      <c r="F132" s="8" t="s">
        <v>6918</v>
      </c>
      <c r="G132" s="12" t="s">
        <v>6919</v>
      </c>
      <c r="H132" s="12">
        <v>1</v>
      </c>
      <c r="I132" s="13" t="str">
        <f>HYPERLINK("http://www.ncbi.nlm.nih.gov/gene/27065", "27065")</f>
        <v>27065</v>
      </c>
      <c r="J132" s="12" t="s">
        <v>19823</v>
      </c>
      <c r="K132" s="12" t="s">
        <v>19824</v>
      </c>
      <c r="L132" s="13" t="str">
        <f>HYPERLINK("http://asia.ensembl.org/Homo_sapiens/Gene/Summary?g=ENSG00000168824", "ENSG00000168824")</f>
        <v>ENSG00000168824</v>
      </c>
      <c r="M132" s="12" t="s">
        <v>19825</v>
      </c>
      <c r="N132" s="12" t="s">
        <v>19826</v>
      </c>
    </row>
    <row r="133" spans="1:14">
      <c r="A133" s="12" t="s">
        <v>9785</v>
      </c>
      <c r="B133" s="8">
        <v>324.060178925863</v>
      </c>
      <c r="C133" s="12">
        <v>1215.37085064707</v>
      </c>
      <c r="D133" s="8">
        <v>-1.9070629401302599</v>
      </c>
      <c r="E133" s="12">
        <v>1.6115207166336101E-3</v>
      </c>
      <c r="F133" s="8" t="s">
        <v>9786</v>
      </c>
      <c r="G133" s="12" t="s">
        <v>9787</v>
      </c>
      <c r="H133" s="12">
        <v>1</v>
      </c>
      <c r="I133" s="13" t="str">
        <f>HYPERLINK("http://www.ncbi.nlm.nih.gov/gene/147920", "147920")</f>
        <v>147920</v>
      </c>
      <c r="J133" s="12" t="s">
        <v>19324</v>
      </c>
      <c r="K133" s="12" t="s">
        <v>19325</v>
      </c>
      <c r="L133" s="13" t="str">
        <f>HYPERLINK("http://asia.ensembl.org/Homo_sapiens/Gene/Summary?g=ENSG00000204866", "ENSG00000204866")</f>
        <v>ENSG00000204866</v>
      </c>
      <c r="M133" s="12" t="s">
        <v>19326</v>
      </c>
      <c r="N133" s="12" t="s">
        <v>19327</v>
      </c>
    </row>
    <row r="134" spans="1:14">
      <c r="A134" s="12" t="s">
        <v>1298</v>
      </c>
      <c r="B134" s="8">
        <v>7014.3655564561795</v>
      </c>
      <c r="C134" s="12">
        <v>26233.506530845501</v>
      </c>
      <c r="D134" s="8">
        <v>-1.9030261356407101</v>
      </c>
      <c r="E134" s="12">
        <v>1.5142964243800499E-4</v>
      </c>
      <c r="F134" s="8" t="s">
        <v>1299</v>
      </c>
      <c r="G134" s="12" t="s">
        <v>1300</v>
      </c>
      <c r="H134" s="12">
        <v>1</v>
      </c>
      <c r="I134" s="13" t="str">
        <f>HYPERLINK("http://www.ncbi.nlm.nih.gov/gene/11013", "11013")</f>
        <v>11013</v>
      </c>
      <c r="J134" s="13" t="str">
        <f>HYPERLINK("http://www.ncbi.nlm.nih.gov/nuccore/NM_021992", "NM_021992")</f>
        <v>NM_021992</v>
      </c>
      <c r="K134" s="12" t="s">
        <v>1301</v>
      </c>
      <c r="L134" s="13" t="str">
        <f>HYPERLINK("http://asia.ensembl.org/Homo_sapiens/Gene/Summary?g=ENSG00000158164", "ENSG00000158164")</f>
        <v>ENSG00000158164</v>
      </c>
      <c r="M134" s="12" t="s">
        <v>1302</v>
      </c>
      <c r="N134" s="12" t="s">
        <v>1303</v>
      </c>
    </row>
    <row r="135" spans="1:14">
      <c r="A135" s="12" t="s">
        <v>1132</v>
      </c>
      <c r="B135" s="8">
        <v>219.64094007094599</v>
      </c>
      <c r="C135" s="12">
        <v>817.47344819717398</v>
      </c>
      <c r="D135" s="8">
        <v>-1.8960248809751701</v>
      </c>
      <c r="E135" s="12">
        <v>9.3550295676794802E-4</v>
      </c>
      <c r="F135" s="8" t="s">
        <v>1133</v>
      </c>
      <c r="G135" s="12" t="s">
        <v>1134</v>
      </c>
      <c r="H135" s="12">
        <v>1</v>
      </c>
      <c r="I135" s="13" t="str">
        <f>HYPERLINK("http://www.ncbi.nlm.nih.gov/gene/3202", "3202")</f>
        <v>3202</v>
      </c>
      <c r="J135" s="13" t="str">
        <f>HYPERLINK("http://www.ncbi.nlm.nih.gov/nuccore/NM_019102", "NM_019102")</f>
        <v>NM_019102</v>
      </c>
      <c r="K135" s="12" t="s">
        <v>1135</v>
      </c>
      <c r="L135" s="13" t="str">
        <f>HYPERLINK("http://asia.ensembl.org/Homo_sapiens/Gene/Summary?g=ENSG00000106004", "ENSG00000106004")</f>
        <v>ENSG00000106004</v>
      </c>
      <c r="M135" s="12" t="s">
        <v>16516</v>
      </c>
      <c r="N135" s="12" t="s">
        <v>1136</v>
      </c>
    </row>
    <row r="136" spans="1:14">
      <c r="A136" s="12" t="s">
        <v>833</v>
      </c>
      <c r="B136" s="8">
        <v>2925.0510754165698</v>
      </c>
      <c r="C136" s="12">
        <v>10786.922659538601</v>
      </c>
      <c r="D136" s="8">
        <v>-1.8827496237047101</v>
      </c>
      <c r="E136" s="12">
        <v>3.8372213638056402E-2</v>
      </c>
      <c r="F136" s="8" t="s">
        <v>834</v>
      </c>
      <c r="G136" s="12" t="s">
        <v>835</v>
      </c>
      <c r="H136" s="12">
        <v>1</v>
      </c>
      <c r="I136" s="13" t="str">
        <f>HYPERLINK("http://www.ncbi.nlm.nih.gov/gene/84910", "84910")</f>
        <v>84910</v>
      </c>
      <c r="J136" s="13" t="str">
        <f>HYPERLINK("http://www.ncbi.nlm.nih.gov/nuccore/NM_032824", "NM_032824")</f>
        <v>NM_032824</v>
      </c>
      <c r="K136" s="12" t="s">
        <v>836</v>
      </c>
      <c r="L136" s="13" t="str">
        <f>HYPERLINK("http://asia.ensembl.org/Homo_sapiens/Gene/Summary?g=ENSG00000153214", "ENSG00000153214")</f>
        <v>ENSG00000153214</v>
      </c>
      <c r="M136" s="12" t="s">
        <v>16450</v>
      </c>
      <c r="N136" s="12" t="s">
        <v>16451</v>
      </c>
    </row>
    <row r="137" spans="1:14">
      <c r="A137" s="12" t="s">
        <v>10179</v>
      </c>
      <c r="B137" s="8">
        <v>438.436733137224</v>
      </c>
      <c r="C137" s="12">
        <v>1616.84947023989</v>
      </c>
      <c r="D137" s="8">
        <v>-1.88274478874439</v>
      </c>
      <c r="E137" s="12">
        <v>3.4041072899181101E-4</v>
      </c>
      <c r="F137" s="8" t="s">
        <v>10180</v>
      </c>
      <c r="G137" s="12" t="s">
        <v>19577</v>
      </c>
      <c r="H137" s="12">
        <v>1</v>
      </c>
      <c r="I137" s="13" t="str">
        <f>HYPERLINK("http://www.ncbi.nlm.nih.gov/gene/6083", "6083")</f>
        <v>6083</v>
      </c>
      <c r="J137" s="13" t="str">
        <f>HYPERLINK("http://www.ncbi.nlm.nih.gov/nuccore/NR_000006", "NR_000006")</f>
        <v>NR_000006</v>
      </c>
      <c r="K137" s="12" t="s">
        <v>199</v>
      </c>
      <c r="L137" s="13" t="str">
        <f>HYPERLINK("http://asia.ensembl.org/Homo_sapiens/Gene/Summary?g=ENSG00000206680", "ENSG00000206680")</f>
        <v>ENSG00000206680</v>
      </c>
      <c r="M137" s="12" t="s">
        <v>10181</v>
      </c>
    </row>
    <row r="138" spans="1:14">
      <c r="A138" s="12" t="s">
        <v>10087</v>
      </c>
      <c r="B138" s="8">
        <v>2138.4331882531701</v>
      </c>
      <c r="C138" s="12">
        <v>7872.5360028947398</v>
      </c>
      <c r="D138" s="8">
        <v>-1.8802743168084799</v>
      </c>
      <c r="E138" s="12">
        <v>4.1095358739359398E-4</v>
      </c>
      <c r="F138" s="8" t="s">
        <v>1461</v>
      </c>
      <c r="G138" s="12" t="s">
        <v>1462</v>
      </c>
      <c r="H138" s="12">
        <v>1</v>
      </c>
      <c r="I138" s="13" t="str">
        <f>HYPERLINK("http://www.ncbi.nlm.nih.gov/gene/10439", "10439")</f>
        <v>10439</v>
      </c>
      <c r="J138" s="13" t="str">
        <f>HYPERLINK("http://www.ncbi.nlm.nih.gov/nuccore/NM_006334", "NM_006334")</f>
        <v>NM_006334</v>
      </c>
      <c r="K138" s="12" t="s">
        <v>10088</v>
      </c>
      <c r="L138" s="13" t="str">
        <f>HYPERLINK("http://asia.ensembl.org/Homo_sapiens/Gene/Summary?g=ENSG00000130558", "ENSG00000130558")</f>
        <v>ENSG00000130558</v>
      </c>
      <c r="M138" s="12" t="s">
        <v>19348</v>
      </c>
      <c r="N138" s="12" t="s">
        <v>19349</v>
      </c>
    </row>
    <row r="139" spans="1:14">
      <c r="A139" s="12" t="s">
        <v>810</v>
      </c>
      <c r="B139" s="8">
        <v>74.656103357066101</v>
      </c>
      <c r="C139" s="12">
        <v>274.61568345218802</v>
      </c>
      <c r="D139" s="8">
        <v>-1.8790819060655399</v>
      </c>
      <c r="E139" s="12">
        <v>2.7855385201653801E-2</v>
      </c>
      <c r="F139" s="8" t="s">
        <v>811</v>
      </c>
      <c r="G139" s="12" t="s">
        <v>812</v>
      </c>
      <c r="H139" s="12">
        <v>1</v>
      </c>
      <c r="I139" s="13" t="str">
        <f>HYPERLINK("http://www.ncbi.nlm.nih.gov/gene/158763", "158763")</f>
        <v>158763</v>
      </c>
      <c r="J139" s="13" t="str">
        <f>HYPERLINK("http://www.ncbi.nlm.nih.gov/nuccore/NM_144967", "NM_144967")</f>
        <v>NM_144967</v>
      </c>
      <c r="K139" s="12" t="s">
        <v>813</v>
      </c>
      <c r="L139" s="13" t="str">
        <f>HYPERLINK("http://asia.ensembl.org/Homo_sapiens/Gene/Summary?g=ENSG00000147256", "ENSG00000147256")</f>
        <v>ENSG00000147256</v>
      </c>
      <c r="M139" s="12" t="s">
        <v>16448</v>
      </c>
      <c r="N139" s="12" t="s">
        <v>16449</v>
      </c>
    </row>
    <row r="140" spans="1:14">
      <c r="A140" s="12" t="s">
        <v>2777</v>
      </c>
      <c r="B140" s="8">
        <v>56.301038528873796</v>
      </c>
      <c r="C140" s="12">
        <v>206.870748914822</v>
      </c>
      <c r="D140" s="8">
        <v>-1.8774962259853301</v>
      </c>
      <c r="E140" s="12">
        <v>1.38902777540307E-2</v>
      </c>
      <c r="F140" s="8" t="s">
        <v>2778</v>
      </c>
      <c r="G140" s="12" t="s">
        <v>2779</v>
      </c>
      <c r="H140" s="12">
        <v>1</v>
      </c>
      <c r="I140" s="13" t="str">
        <f>HYPERLINK("http://www.ncbi.nlm.nih.gov/gene/23017", "23017")</f>
        <v>23017</v>
      </c>
      <c r="J140" s="13" t="str">
        <f>HYPERLINK("http://www.ncbi.nlm.nih.gov/nuccore/NM_012306", "NM_012306")</f>
        <v>NM_012306</v>
      </c>
      <c r="K140" s="12" t="s">
        <v>2780</v>
      </c>
      <c r="L140" s="13" t="str">
        <f>HYPERLINK("http://asia.ensembl.org/Homo_sapiens/Gene/Summary?g=ENSG00000135472", "ENSG00000135472")</f>
        <v>ENSG00000135472</v>
      </c>
      <c r="M140" s="12" t="s">
        <v>17112</v>
      </c>
      <c r="N140" s="12" t="s">
        <v>17113</v>
      </c>
    </row>
    <row r="141" spans="1:14">
      <c r="A141" s="12" t="s">
        <v>10558</v>
      </c>
      <c r="B141" s="8">
        <v>674.86223138662695</v>
      </c>
      <c r="C141" s="12">
        <v>2471.3889554136599</v>
      </c>
      <c r="D141" s="8">
        <v>-1.8726571638949401</v>
      </c>
      <c r="E141" s="12">
        <v>1.7133318094598199E-3</v>
      </c>
      <c r="F141" s="8" t="s">
        <v>1270</v>
      </c>
      <c r="G141" s="12" t="s">
        <v>1271</v>
      </c>
      <c r="H141" s="12">
        <v>1</v>
      </c>
      <c r="I141" s="13" t="str">
        <f>HYPERLINK("http://www.ncbi.nlm.nih.gov/gene/6495", "6495")</f>
        <v>6495</v>
      </c>
      <c r="J141" s="13" t="str">
        <f>HYPERLINK("http://www.ncbi.nlm.nih.gov/nuccore/NM_005982", "NM_005982")</f>
        <v>NM_005982</v>
      </c>
      <c r="K141" s="12" t="s">
        <v>1272</v>
      </c>
      <c r="L141" s="13" t="str">
        <f>HYPERLINK("http://asia.ensembl.org/Homo_sapiens/Gene/Summary?g=ENSG00000126778", "ENSG00000126778")</f>
        <v>ENSG00000126778</v>
      </c>
      <c r="M141" s="12" t="s">
        <v>16562</v>
      </c>
      <c r="N141" s="12" t="s">
        <v>16563</v>
      </c>
    </row>
    <row r="142" spans="1:14">
      <c r="A142" s="12" t="s">
        <v>10713</v>
      </c>
      <c r="B142" s="8">
        <v>238.93619090769701</v>
      </c>
      <c r="C142" s="12">
        <v>872.49586196248197</v>
      </c>
      <c r="D142" s="8">
        <v>-1.8685228981923101</v>
      </c>
      <c r="E142" s="12">
        <v>2.27987006059711E-4</v>
      </c>
      <c r="F142" s="8" t="s">
        <v>8092</v>
      </c>
      <c r="G142" s="12" t="s">
        <v>8093</v>
      </c>
      <c r="H142" s="12">
        <v>1</v>
      </c>
      <c r="I142" s="13" t="str">
        <f>HYPERLINK("http://www.ncbi.nlm.nih.gov/gene/27445", "27445")</f>
        <v>27445</v>
      </c>
      <c r="J142" s="13" t="str">
        <f>HYPERLINK("http://www.ncbi.nlm.nih.gov/nuccore/NM_014510", "NM_014510")</f>
        <v>NM_014510</v>
      </c>
      <c r="K142" s="12" t="s">
        <v>10714</v>
      </c>
      <c r="L142" s="13" t="str">
        <f>HYPERLINK("http://asia.ensembl.org/Homo_sapiens/Gene/Summary?g=ENSG00000186472", "ENSG00000186472")</f>
        <v>ENSG00000186472</v>
      </c>
      <c r="M142" s="12" t="s">
        <v>19838</v>
      </c>
      <c r="N142" s="12" t="s">
        <v>19839</v>
      </c>
    </row>
    <row r="143" spans="1:14">
      <c r="A143" s="12" t="s">
        <v>2685</v>
      </c>
      <c r="B143" s="8">
        <v>33672.623181342402</v>
      </c>
      <c r="C143" s="12">
        <v>122304.07175671399</v>
      </c>
      <c r="D143" s="8">
        <v>-1.8608244147822399</v>
      </c>
      <c r="E143" s="12">
        <v>1.1175080907452101E-3</v>
      </c>
      <c r="F143" s="8" t="s">
        <v>2686</v>
      </c>
      <c r="G143" s="12" t="s">
        <v>2687</v>
      </c>
      <c r="H143" s="12">
        <v>1</v>
      </c>
      <c r="I143" s="13" t="str">
        <f>HYPERLINK("http://www.ncbi.nlm.nih.gov/gene/8721", "8721")</f>
        <v>8721</v>
      </c>
      <c r="J143" s="13" t="str">
        <f>HYPERLINK("http://www.ncbi.nlm.nih.gov/nuccore/NM_003792", "NM_003792")</f>
        <v>NM_003792</v>
      </c>
      <c r="K143" s="12" t="s">
        <v>2688</v>
      </c>
      <c r="L143" s="13" t="str">
        <f>HYPERLINK("http://asia.ensembl.org/Homo_sapiens/Gene/Summary?g=ENSG00000107223", "ENSG00000107223")</f>
        <v>ENSG00000107223</v>
      </c>
      <c r="M143" s="12" t="s">
        <v>17073</v>
      </c>
      <c r="N143" s="12" t="s">
        <v>17074</v>
      </c>
    </row>
    <row r="144" spans="1:14">
      <c r="A144" s="12" t="s">
        <v>10085</v>
      </c>
      <c r="B144" s="8">
        <v>201.23887758201599</v>
      </c>
      <c r="C144" s="12">
        <v>726.99447033266404</v>
      </c>
      <c r="D144" s="8">
        <v>-1.8530353426871</v>
      </c>
      <c r="E144" s="12">
        <v>3.35164109952842E-3</v>
      </c>
      <c r="F144" s="8" t="s">
        <v>6910</v>
      </c>
      <c r="G144" s="12" t="s">
        <v>6911</v>
      </c>
      <c r="H144" s="12">
        <v>1</v>
      </c>
      <c r="I144" s="13" t="str">
        <f>HYPERLINK("http://www.ncbi.nlm.nih.gov/gene/6943", "6943")</f>
        <v>6943</v>
      </c>
      <c r="J144" s="13" t="str">
        <f>HYPERLINK("http://www.ncbi.nlm.nih.gov/nuccore/NM_198392", "NM_198392")</f>
        <v>NM_198392</v>
      </c>
      <c r="K144" s="12" t="s">
        <v>10086</v>
      </c>
      <c r="L144" s="13" t="str">
        <f>HYPERLINK("http://asia.ensembl.org/Homo_sapiens/Gene/Summary?g=ENSG00000118526", "ENSG00000118526")</f>
        <v>ENSG00000118526</v>
      </c>
      <c r="M144" s="12" t="s">
        <v>18300</v>
      </c>
      <c r="N144" s="12" t="s">
        <v>18301</v>
      </c>
    </row>
    <row r="145" spans="1:14">
      <c r="A145" s="12" t="s">
        <v>1670</v>
      </c>
      <c r="B145" s="8">
        <v>72.398048748299701</v>
      </c>
      <c r="C145" s="12">
        <v>261.218410521181</v>
      </c>
      <c r="D145" s="8">
        <v>-1.8512338609354699</v>
      </c>
      <c r="E145" s="12">
        <v>4.0566751985318E-4</v>
      </c>
      <c r="F145" s="8" t="s">
        <v>1671</v>
      </c>
      <c r="G145" s="12" t="s">
        <v>1672</v>
      </c>
      <c r="H145" s="12">
        <v>1</v>
      </c>
      <c r="I145" s="13" t="str">
        <f>HYPERLINK("http://www.ncbi.nlm.nih.gov/gene/90161", "90161")</f>
        <v>90161</v>
      </c>
      <c r="J145" s="12" t="s">
        <v>16750</v>
      </c>
      <c r="K145" s="12" t="s">
        <v>16751</v>
      </c>
      <c r="L145" s="13" t="str">
        <f>HYPERLINK("http://asia.ensembl.org/Homo_sapiens/Gene/Summary?g=ENSG00000171004", "ENSG00000171004")</f>
        <v>ENSG00000171004</v>
      </c>
      <c r="M145" s="12" t="s">
        <v>16752</v>
      </c>
      <c r="N145" s="12" t="s">
        <v>16753</v>
      </c>
    </row>
    <row r="146" spans="1:14">
      <c r="A146" s="12" t="s">
        <v>3666</v>
      </c>
      <c r="B146" s="8">
        <v>112.78691911130601</v>
      </c>
      <c r="C146" s="12">
        <v>406.62449542311202</v>
      </c>
      <c r="D146" s="8">
        <v>-1.85009737160389</v>
      </c>
      <c r="E146" s="12">
        <v>1.1239660043371199E-2</v>
      </c>
      <c r="F146" s="8" t="s">
        <v>3667</v>
      </c>
      <c r="G146" s="12" t="s">
        <v>3668</v>
      </c>
      <c r="H146" s="12">
        <v>1</v>
      </c>
      <c r="I146" s="13" t="str">
        <f>HYPERLINK("http://www.ncbi.nlm.nih.gov/gene/199777", "199777")</f>
        <v>199777</v>
      </c>
      <c r="J146" s="13" t="str">
        <f>HYPERLINK("http://www.ncbi.nlm.nih.gov/nuccore/NM_145297", "NM_145297")</f>
        <v>NM_145297</v>
      </c>
      <c r="K146" s="12" t="s">
        <v>3669</v>
      </c>
      <c r="L146" s="13" t="str">
        <f>HYPERLINK("http://asia.ensembl.org/Homo_sapiens/Gene/Summary?g=ENSG00000188171", "ENSG00000188171")</f>
        <v>ENSG00000188171</v>
      </c>
      <c r="M146" s="12" t="s">
        <v>17371</v>
      </c>
      <c r="N146" s="12" t="s">
        <v>17372</v>
      </c>
    </row>
    <row r="147" spans="1:14">
      <c r="A147" s="12" t="s">
        <v>8457</v>
      </c>
      <c r="B147" s="8">
        <v>103.61500636106901</v>
      </c>
      <c r="C147" s="12">
        <v>372.94154630301199</v>
      </c>
      <c r="D147" s="8">
        <v>-1.8477165637799</v>
      </c>
      <c r="E147" s="12">
        <v>4.5669857137455E-2</v>
      </c>
      <c r="F147" s="8" t="s">
        <v>8458</v>
      </c>
      <c r="G147" s="12" t="s">
        <v>18847</v>
      </c>
      <c r="H147" s="12">
        <v>1</v>
      </c>
      <c r="I147" s="13" t="str">
        <f>HYPERLINK("http://www.ncbi.nlm.nih.gov/gene/778", "778")</f>
        <v>778</v>
      </c>
      <c r="J147" s="12" t="s">
        <v>18848</v>
      </c>
      <c r="K147" s="12" t="s">
        <v>18849</v>
      </c>
      <c r="L147" s="13" t="str">
        <f>HYPERLINK("http://asia.ensembl.org/Homo_sapiens/Gene/Summary?g=ENSG00000102001", "ENSG00000102001")</f>
        <v>ENSG00000102001</v>
      </c>
      <c r="M147" s="12" t="s">
        <v>18850</v>
      </c>
      <c r="N147" s="12" t="s">
        <v>18851</v>
      </c>
    </row>
    <row r="148" spans="1:14">
      <c r="A148" s="12" t="s">
        <v>7974</v>
      </c>
      <c r="B148" s="8">
        <v>8906.1394085666798</v>
      </c>
      <c r="C148" s="12">
        <v>31989.053050282801</v>
      </c>
      <c r="D148" s="8">
        <v>-1.84470618628668</v>
      </c>
      <c r="E148" s="12">
        <v>8.6235111265214296E-4</v>
      </c>
      <c r="F148" s="8" t="s">
        <v>7975</v>
      </c>
      <c r="G148" s="12" t="s">
        <v>7976</v>
      </c>
      <c r="H148" s="12">
        <v>1</v>
      </c>
      <c r="I148" s="13" t="str">
        <f>HYPERLINK("http://www.ncbi.nlm.nih.gov/gene/254863", "254863")</f>
        <v>254863</v>
      </c>
      <c r="J148" s="13" t="str">
        <f>HYPERLINK("http://www.ncbi.nlm.nih.gov/nuccore/NM_152766", "NM_152766")</f>
        <v>NM_152766</v>
      </c>
      <c r="K148" s="12" t="s">
        <v>7977</v>
      </c>
      <c r="L148" s="13" t="str">
        <f>HYPERLINK("http://asia.ensembl.org/Homo_sapiens/Gene/Summary?g=ENSG00000205544", "ENSG00000205544")</f>
        <v>ENSG00000205544</v>
      </c>
      <c r="M148" s="12" t="s">
        <v>18691</v>
      </c>
      <c r="N148" s="12" t="s">
        <v>18692</v>
      </c>
    </row>
    <row r="149" spans="1:14">
      <c r="A149" s="12" t="s">
        <v>6722</v>
      </c>
      <c r="B149" s="8">
        <v>30982.226433522701</v>
      </c>
      <c r="C149" s="12">
        <v>111180.86508810701</v>
      </c>
      <c r="D149" s="8">
        <v>-1.843395785327</v>
      </c>
      <c r="E149" s="12">
        <v>1.7840781906966899E-3</v>
      </c>
      <c r="F149" s="8" t="s">
        <v>6723</v>
      </c>
      <c r="G149" s="12" t="s">
        <v>6724</v>
      </c>
      <c r="H149" s="12">
        <v>1</v>
      </c>
      <c r="I149" s="13" t="str">
        <f>HYPERLINK("http://www.ncbi.nlm.nih.gov/gene/6210", "6210")</f>
        <v>6210</v>
      </c>
      <c r="J149" s="13" t="str">
        <f>HYPERLINK("http://www.ncbi.nlm.nih.gov/nuccore/NM_001019", "NM_001019")</f>
        <v>NM_001019</v>
      </c>
      <c r="K149" s="12" t="s">
        <v>6725</v>
      </c>
      <c r="L149" s="13" t="str">
        <f>HYPERLINK("http://asia.ensembl.org/Homo_sapiens/Gene/Summary?g=ENSG00000134419", "ENSG00000134419")</f>
        <v>ENSG00000134419</v>
      </c>
      <c r="M149" s="12" t="s">
        <v>18243</v>
      </c>
      <c r="N149" s="12" t="s">
        <v>18244</v>
      </c>
    </row>
    <row r="150" spans="1:14">
      <c r="A150" s="12" t="s">
        <v>9137</v>
      </c>
      <c r="B150" s="8">
        <v>15220.0463179906</v>
      </c>
      <c r="C150" s="12">
        <v>54451.5426037254</v>
      </c>
      <c r="D150" s="8">
        <v>-1.8390001715566</v>
      </c>
      <c r="E150" s="12">
        <v>1.40452152287883E-3</v>
      </c>
      <c r="F150" s="8" t="s">
        <v>9138</v>
      </c>
      <c r="G150" s="12" t="s">
        <v>9139</v>
      </c>
      <c r="H150" s="12">
        <v>1</v>
      </c>
      <c r="I150" s="13" t="str">
        <f>HYPERLINK("http://www.ncbi.nlm.nih.gov/gene/6223", "6223")</f>
        <v>6223</v>
      </c>
      <c r="J150" s="13" t="str">
        <f>HYPERLINK("http://www.ncbi.nlm.nih.gov/nuccore/NM_001022", "NM_001022")</f>
        <v>NM_001022</v>
      </c>
      <c r="K150" s="12" t="s">
        <v>9140</v>
      </c>
      <c r="L150" s="13" t="str">
        <f>HYPERLINK("http://asia.ensembl.org/Homo_sapiens/Gene/Summary?g=ENSG00000105372", "ENSG00000105372")</f>
        <v>ENSG00000105372</v>
      </c>
      <c r="M150" s="12" t="s">
        <v>19068</v>
      </c>
      <c r="N150" s="12" t="s">
        <v>19069</v>
      </c>
    </row>
    <row r="151" spans="1:14">
      <c r="A151" s="12" t="s">
        <v>6123</v>
      </c>
      <c r="B151" s="8">
        <v>5026.2623930563896</v>
      </c>
      <c r="C151" s="12">
        <v>17919.672584291198</v>
      </c>
      <c r="D151" s="8">
        <v>-1.83398638438406</v>
      </c>
      <c r="E151" s="12">
        <v>1.5184551426338699E-3</v>
      </c>
      <c r="F151" s="8" t="s">
        <v>6124</v>
      </c>
      <c r="G151" s="12" t="s">
        <v>352</v>
      </c>
      <c r="H151" s="12">
        <v>1</v>
      </c>
      <c r="I151" s="13" t="str">
        <f>HYPERLINK("http://www.ncbi.nlm.nih.gov/gene/11051", "11051")</f>
        <v>11051</v>
      </c>
      <c r="J151" s="13" t="str">
        <f>HYPERLINK("http://www.ncbi.nlm.nih.gov/nuccore/NM_007006", "NM_007006")</f>
        <v>NM_007006</v>
      </c>
      <c r="K151" s="12" t="s">
        <v>6125</v>
      </c>
      <c r="L151" s="13" t="str">
        <f>HYPERLINK("http://asia.ensembl.org/Homo_sapiens/Gene/Summary?g=ENSG00000167005", "ENSG00000167005")</f>
        <v>ENSG00000167005</v>
      </c>
      <c r="M151" s="12" t="s">
        <v>18062</v>
      </c>
      <c r="N151" s="12" t="s">
        <v>18063</v>
      </c>
    </row>
    <row r="152" spans="1:14">
      <c r="A152" s="12" t="s">
        <v>7908</v>
      </c>
      <c r="B152" s="8">
        <v>784.79490846560498</v>
      </c>
      <c r="C152" s="12">
        <v>2796.45336222884</v>
      </c>
      <c r="D152" s="8">
        <v>-1.83321068312883</v>
      </c>
      <c r="E152" s="12">
        <v>2.6572753601128199E-3</v>
      </c>
      <c r="F152" s="8" t="s">
        <v>7909</v>
      </c>
      <c r="G152" s="12" t="s">
        <v>18662</v>
      </c>
      <c r="H152" s="12">
        <v>1</v>
      </c>
      <c r="I152" s="13" t="str">
        <f>HYPERLINK("http://www.ncbi.nlm.nih.gov/gene/8338", "8338")</f>
        <v>8338</v>
      </c>
      <c r="J152" s="13" t="str">
        <f>HYPERLINK("http://www.ncbi.nlm.nih.gov/nuccore/NM_003517", "NM_003517")</f>
        <v>NM_003517</v>
      </c>
      <c r="K152" s="12" t="s">
        <v>7910</v>
      </c>
      <c r="L152" s="13" t="str">
        <f>HYPERLINK("http://asia.ensembl.org/Homo_sapiens/Gene/Summary?g=ENSG00000184260", "ENSG00000184260")</f>
        <v>ENSG00000184260</v>
      </c>
      <c r="M152" s="12" t="s">
        <v>7911</v>
      </c>
      <c r="N152" s="12" t="s">
        <v>7912</v>
      </c>
    </row>
    <row r="153" spans="1:14">
      <c r="A153" s="12" t="s">
        <v>9838</v>
      </c>
      <c r="B153" s="8">
        <v>7543.8740119962304</v>
      </c>
      <c r="C153" s="12">
        <v>26844.586257070299</v>
      </c>
      <c r="D153" s="8">
        <v>-1.8312536821879</v>
      </c>
      <c r="E153" s="12">
        <v>2.0782894770388998E-3</v>
      </c>
      <c r="F153" s="8" t="s">
        <v>9839</v>
      </c>
      <c r="G153" s="12" t="s">
        <v>9840</v>
      </c>
      <c r="H153" s="12">
        <v>4</v>
      </c>
      <c r="I153" s="12" t="s">
        <v>9841</v>
      </c>
      <c r="J153" s="12" t="s">
        <v>19358</v>
      </c>
      <c r="K153" s="12" t="s">
        <v>19359</v>
      </c>
      <c r="L153" s="12" t="s">
        <v>9842</v>
      </c>
      <c r="M153" s="12" t="s">
        <v>19360</v>
      </c>
      <c r="N153" s="12" t="s">
        <v>19361</v>
      </c>
    </row>
    <row r="154" spans="1:14">
      <c r="A154" s="12" t="s">
        <v>8072</v>
      </c>
      <c r="B154" s="8">
        <v>250.324104971824</v>
      </c>
      <c r="C154" s="12">
        <v>890.07050306282497</v>
      </c>
      <c r="D154" s="8">
        <v>-1.8301223953123</v>
      </c>
      <c r="E154" s="12">
        <v>1.82669448343632E-2</v>
      </c>
      <c r="F154" s="8" t="s">
        <v>8073</v>
      </c>
      <c r="G154" s="12" t="s">
        <v>8074</v>
      </c>
      <c r="H154" s="12">
        <v>1</v>
      </c>
      <c r="I154" s="13" t="str">
        <f>HYPERLINK("http://www.ncbi.nlm.nih.gov/gene/387778", "387778")</f>
        <v>387778</v>
      </c>
      <c r="J154" s="13" t="str">
        <f>HYPERLINK("http://www.ncbi.nlm.nih.gov/nuccore/NM_001008778", "NM_001008778")</f>
        <v>NM_001008778</v>
      </c>
      <c r="K154" s="12" t="s">
        <v>8075</v>
      </c>
      <c r="L154" s="13" t="str">
        <f>HYPERLINK("http://asia.ensembl.org/Homo_sapiens/Gene/Summary?g=ENSG00000204710", "ENSG00000204710")</f>
        <v>ENSG00000204710</v>
      </c>
      <c r="M154" s="12" t="s">
        <v>8076</v>
      </c>
      <c r="N154" s="12" t="s">
        <v>8077</v>
      </c>
    </row>
    <row r="155" spans="1:14">
      <c r="A155" s="12" t="s">
        <v>3708</v>
      </c>
      <c r="B155" s="8">
        <v>362.36216791594097</v>
      </c>
      <c r="C155" s="12">
        <v>1286.4665423372701</v>
      </c>
      <c r="D155" s="8">
        <v>-1.8279096916689199</v>
      </c>
      <c r="E155" s="12">
        <v>8.9849260200398906E-5</v>
      </c>
      <c r="F155" s="8" t="s">
        <v>3709</v>
      </c>
      <c r="G155" s="12" t="s">
        <v>3710</v>
      </c>
      <c r="H155" s="12">
        <v>1</v>
      </c>
      <c r="I155" s="13" t="str">
        <f>HYPERLINK("http://www.ncbi.nlm.nih.gov/gene/2296", "2296")</f>
        <v>2296</v>
      </c>
      <c r="J155" s="13" t="str">
        <f>HYPERLINK("http://www.ncbi.nlm.nih.gov/nuccore/NM_001453", "NM_001453")</f>
        <v>NM_001453</v>
      </c>
      <c r="K155" s="12" t="s">
        <v>3711</v>
      </c>
      <c r="L155" s="13" t="str">
        <f>HYPERLINK("http://asia.ensembl.org/Homo_sapiens/Gene/Summary?g=ENSG00000054598", "ENSG00000054598")</f>
        <v>ENSG00000054598</v>
      </c>
      <c r="M155" s="12" t="s">
        <v>3712</v>
      </c>
      <c r="N155" s="12" t="s">
        <v>3713</v>
      </c>
    </row>
    <row r="156" spans="1:14">
      <c r="A156" s="12" t="s">
        <v>3048</v>
      </c>
      <c r="B156" s="8">
        <v>361.416905307874</v>
      </c>
      <c r="C156" s="12">
        <v>1276.59415674862</v>
      </c>
      <c r="D156" s="8">
        <v>-1.82056405430768</v>
      </c>
      <c r="E156" s="12">
        <v>5.1608508971045901E-4</v>
      </c>
      <c r="F156" s="8" t="s">
        <v>3049</v>
      </c>
      <c r="G156" s="12" t="s">
        <v>17187</v>
      </c>
      <c r="H156" s="12">
        <v>1</v>
      </c>
      <c r="I156" s="13" t="str">
        <f>HYPERLINK("http://www.ncbi.nlm.nih.gov/gene/8367", "8367")</f>
        <v>8367</v>
      </c>
      <c r="J156" s="13" t="str">
        <f>HYPERLINK("http://www.ncbi.nlm.nih.gov/nuccore/NM_003545", "NM_003545")</f>
        <v>NM_003545</v>
      </c>
      <c r="K156" s="12" t="s">
        <v>3050</v>
      </c>
      <c r="L156" s="13" t="str">
        <f>HYPERLINK("http://asia.ensembl.org/Homo_sapiens/Gene/Summary?g=ENSG00000276966", "ENSG00000276966")</f>
        <v>ENSG00000276966</v>
      </c>
      <c r="M156" s="12" t="s">
        <v>3051</v>
      </c>
      <c r="N156" s="12" t="s">
        <v>3052</v>
      </c>
    </row>
    <row r="157" spans="1:14">
      <c r="A157" s="12" t="s">
        <v>9305</v>
      </c>
      <c r="B157" s="8">
        <v>375.73135577690402</v>
      </c>
      <c r="C157" s="12">
        <v>1326.9049323653601</v>
      </c>
      <c r="D157" s="8">
        <v>-1.8202915880211901</v>
      </c>
      <c r="E157" s="12">
        <v>8.4450468402686503E-4</v>
      </c>
      <c r="F157" s="8" t="s">
        <v>9306</v>
      </c>
      <c r="G157" s="12" t="s">
        <v>19121</v>
      </c>
      <c r="H157" s="12">
        <v>1</v>
      </c>
      <c r="I157" s="13" t="str">
        <f>HYPERLINK("http://www.ncbi.nlm.nih.gov/gene/219431", "219431")</f>
        <v>219431</v>
      </c>
      <c r="J157" s="13" t="str">
        <f>HYPERLINK("http://www.ncbi.nlm.nih.gov/nuccore/NM_001004059", "NM_001004059")</f>
        <v>NM_001004059</v>
      </c>
      <c r="K157" s="12" t="s">
        <v>9307</v>
      </c>
      <c r="L157" s="13" t="str">
        <f>HYPERLINK("http://asia.ensembl.org/Homo_sapiens/Gene/Summary?g=ENSG00000174982", "ENSG00000174982")</f>
        <v>ENSG00000174982</v>
      </c>
      <c r="M157" s="12" t="s">
        <v>9308</v>
      </c>
      <c r="N157" s="12" t="s">
        <v>9309</v>
      </c>
    </row>
    <row r="158" spans="1:14">
      <c r="A158" s="12" t="s">
        <v>2607</v>
      </c>
      <c r="B158" s="8">
        <v>49.999999999999901</v>
      </c>
      <c r="C158" s="12">
        <v>176.4946180638</v>
      </c>
      <c r="D158" s="8">
        <v>-1.8196241913658799</v>
      </c>
      <c r="E158" s="12">
        <v>9.9231951121808593E-3</v>
      </c>
      <c r="F158" s="8" t="s">
        <v>2608</v>
      </c>
      <c r="G158" s="12" t="s">
        <v>17045</v>
      </c>
      <c r="H158" s="12">
        <v>1</v>
      </c>
      <c r="I158" s="13" t="str">
        <f>HYPERLINK("http://www.ncbi.nlm.nih.gov/gene/51816", "51816")</f>
        <v>51816</v>
      </c>
      <c r="J158" s="13" t="str">
        <f>HYPERLINK("http://www.ncbi.nlm.nih.gov/nuccore/NM_177405", "NM_177405")</f>
        <v>NM_177405</v>
      </c>
      <c r="K158" s="12" t="s">
        <v>2609</v>
      </c>
      <c r="L158" s="13" t="str">
        <f>HYPERLINK("http://asia.ensembl.org/Homo_sapiens/Gene/Summary?g=ENSG00000093072", "ENSG00000093072")</f>
        <v>ENSG00000093072</v>
      </c>
      <c r="M158" s="12" t="s">
        <v>17046</v>
      </c>
      <c r="N158" s="12" t="s">
        <v>17047</v>
      </c>
    </row>
    <row r="159" spans="1:14">
      <c r="A159" s="12" t="s">
        <v>7239</v>
      </c>
      <c r="B159" s="8">
        <v>318.76595754668602</v>
      </c>
      <c r="C159" s="12">
        <v>1122.4466450551799</v>
      </c>
      <c r="D159" s="8">
        <v>-1.8160773980410501</v>
      </c>
      <c r="E159" s="12">
        <v>2.9495871659385598E-3</v>
      </c>
      <c r="F159" s="8" t="s">
        <v>7240</v>
      </c>
      <c r="G159" s="12" t="s">
        <v>18443</v>
      </c>
      <c r="H159" s="12">
        <v>1</v>
      </c>
      <c r="I159" s="13" t="str">
        <f>HYPERLINK("http://www.ncbi.nlm.nih.gov/gene/98", "98")</f>
        <v>98</v>
      </c>
      <c r="J159" s="13" t="str">
        <f>HYPERLINK("http://www.ncbi.nlm.nih.gov/nuccore/NM_138448", "NM_138448")</f>
        <v>NM_138448</v>
      </c>
      <c r="K159" s="12" t="s">
        <v>7241</v>
      </c>
      <c r="L159" s="13" t="str">
        <f>HYPERLINK("http://asia.ensembl.org/Homo_sapiens/Gene/Summary?g=ENSG00000170634", "ENSG00000170634")</f>
        <v>ENSG00000170634</v>
      </c>
      <c r="M159" s="12" t="s">
        <v>18444</v>
      </c>
      <c r="N159" s="12" t="s">
        <v>18445</v>
      </c>
    </row>
    <row r="160" spans="1:14">
      <c r="A160" s="12" t="s">
        <v>8647</v>
      </c>
      <c r="B160" s="8">
        <v>198.32551327508199</v>
      </c>
      <c r="C160" s="12">
        <v>697.04782839183599</v>
      </c>
      <c r="D160" s="8">
        <v>-1.81338736820241</v>
      </c>
      <c r="E160" s="12">
        <v>1.47595389138021E-3</v>
      </c>
      <c r="F160" s="8" t="s">
        <v>8648</v>
      </c>
      <c r="G160" s="12" t="s">
        <v>18945</v>
      </c>
      <c r="H160" s="12">
        <v>1</v>
      </c>
      <c r="I160" s="13" t="str">
        <f>HYPERLINK("http://www.ncbi.nlm.nih.gov/gene/94161", "94161")</f>
        <v>94161</v>
      </c>
      <c r="J160" s="13" t="str">
        <f>HYPERLINK("http://www.ncbi.nlm.nih.gov/nuccore/NR_000024", "NR_000024")</f>
        <v>NR_000024</v>
      </c>
      <c r="K160" s="12" t="s">
        <v>199</v>
      </c>
      <c r="L160" s="13" t="str">
        <f>HYPERLINK("http://asia.ensembl.org/Homo_sapiens/Gene/Summary?g=ENSG00000200913", "ENSG00000200913")</f>
        <v>ENSG00000200913</v>
      </c>
      <c r="M160" s="12" t="s">
        <v>8649</v>
      </c>
    </row>
    <row r="161" spans="1:14">
      <c r="A161" s="12" t="s">
        <v>9814</v>
      </c>
      <c r="B161" s="8">
        <v>747.98172279799496</v>
      </c>
      <c r="C161" s="12">
        <v>2626.6731122557599</v>
      </c>
      <c r="D161" s="8">
        <v>-1.81216174630713</v>
      </c>
      <c r="E161" s="12">
        <v>6.6214122729133201E-4</v>
      </c>
      <c r="F161" s="8" t="s">
        <v>9815</v>
      </c>
      <c r="G161" s="12" t="s">
        <v>9816</v>
      </c>
      <c r="H161" s="12">
        <v>1</v>
      </c>
      <c r="I161" s="13" t="str">
        <f>HYPERLINK("http://www.ncbi.nlm.nih.gov/gene/64776", "64776")</f>
        <v>64776</v>
      </c>
      <c r="J161" s="13" t="str">
        <f>HYPERLINK("http://www.ncbi.nlm.nih.gov/nuccore/NM_022761", "NM_022761")</f>
        <v>NM_022761</v>
      </c>
      <c r="K161" s="12" t="s">
        <v>9817</v>
      </c>
      <c r="L161" s="13" t="str">
        <f>HYPERLINK("http://asia.ensembl.org/Homo_sapiens/Gene/Summary?g=ENSG00000137720", "ENSG00000137720")</f>
        <v>ENSG00000137720</v>
      </c>
      <c r="M161" s="12" t="s">
        <v>19352</v>
      </c>
      <c r="N161" s="12" t="s">
        <v>19353</v>
      </c>
    </row>
    <row r="162" spans="1:14">
      <c r="A162" s="12" t="s">
        <v>5324</v>
      </c>
      <c r="B162" s="8">
        <v>1331.9489015699201</v>
      </c>
      <c r="C162" s="12">
        <v>4673.2931043878198</v>
      </c>
      <c r="D162" s="8">
        <v>-1.8109007880530701</v>
      </c>
      <c r="E162" s="12">
        <v>1.3000230403683701E-3</v>
      </c>
      <c r="F162" s="8" t="s">
        <v>5325</v>
      </c>
      <c r="G162" s="12" t="s">
        <v>5326</v>
      </c>
      <c r="H162" s="12">
        <v>1</v>
      </c>
      <c r="I162" s="13" t="str">
        <f>HYPERLINK("http://www.ncbi.nlm.nih.gov/gene/25927", "25927")</f>
        <v>25927</v>
      </c>
      <c r="J162" s="13" t="str">
        <f>HYPERLINK("http://www.ncbi.nlm.nih.gov/nuccore/NM_015463", "NM_015463")</f>
        <v>NM_015463</v>
      </c>
      <c r="K162" s="12" t="s">
        <v>5327</v>
      </c>
      <c r="L162" s="13" t="str">
        <f>HYPERLINK("http://asia.ensembl.org/Homo_sapiens/Gene/Summary?g=ENSG00000119865", "ENSG00000119865")</f>
        <v>ENSG00000119865</v>
      </c>
      <c r="M162" s="12" t="s">
        <v>17847</v>
      </c>
      <c r="N162" s="12" t="s">
        <v>17848</v>
      </c>
    </row>
    <row r="163" spans="1:14">
      <c r="A163" s="12" t="s">
        <v>2154</v>
      </c>
      <c r="B163" s="8">
        <v>699.66774168509801</v>
      </c>
      <c r="C163" s="12">
        <v>2447.5730677615202</v>
      </c>
      <c r="D163" s="8">
        <v>-1.8066100468925801</v>
      </c>
      <c r="E163" s="12">
        <v>1.59472891436179E-3</v>
      </c>
      <c r="F163" s="8" t="s">
        <v>2155</v>
      </c>
      <c r="G163" s="12" t="s">
        <v>2156</v>
      </c>
      <c r="H163" s="12">
        <v>1</v>
      </c>
      <c r="I163" s="13" t="str">
        <f>HYPERLINK("http://www.ncbi.nlm.nih.gov/gene/7837", "7837")</f>
        <v>7837</v>
      </c>
      <c r="J163" s="13" t="str">
        <f>HYPERLINK("http://www.ncbi.nlm.nih.gov/nuccore/NM_012293", "NM_012293")</f>
        <v>NM_012293</v>
      </c>
      <c r="K163" s="12" t="s">
        <v>2157</v>
      </c>
      <c r="L163" s="13" t="str">
        <f>HYPERLINK("http://asia.ensembl.org/Homo_sapiens/Gene/Summary?g=ENSG00000130508", "ENSG00000130508")</f>
        <v>ENSG00000130508</v>
      </c>
      <c r="M163" s="12" t="s">
        <v>16949</v>
      </c>
      <c r="N163" s="12" t="s">
        <v>16950</v>
      </c>
    </row>
    <row r="164" spans="1:14">
      <c r="A164" s="12" t="s">
        <v>8540</v>
      </c>
      <c r="B164" s="8">
        <v>123.732272532168</v>
      </c>
      <c r="C164" s="12">
        <v>432.74426839601</v>
      </c>
      <c r="D164" s="8">
        <v>-1.80629287048035</v>
      </c>
      <c r="E164" s="12">
        <v>2.6232003634776098E-4</v>
      </c>
      <c r="F164" s="8" t="s">
        <v>8541</v>
      </c>
      <c r="G164" s="12" t="s">
        <v>406</v>
      </c>
      <c r="H164" s="12">
        <v>1</v>
      </c>
      <c r="I164" s="13" t="str">
        <f>HYPERLINK("http://www.ncbi.nlm.nih.gov/gene/55630", "55630")</f>
        <v>55630</v>
      </c>
      <c r="J164" s="12" t="s">
        <v>18890</v>
      </c>
      <c r="K164" s="12" t="s">
        <v>18891</v>
      </c>
      <c r="L164" s="13" t="str">
        <f>HYPERLINK("http://asia.ensembl.org/Homo_sapiens/Gene/Summary?g=ENSG00000147804", "ENSG00000147804")</f>
        <v>ENSG00000147804</v>
      </c>
      <c r="M164" s="12" t="s">
        <v>18892</v>
      </c>
      <c r="N164" s="12" t="s">
        <v>18893</v>
      </c>
    </row>
    <row r="165" spans="1:14">
      <c r="A165" s="12" t="s">
        <v>3032</v>
      </c>
      <c r="B165" s="8">
        <v>272.78551755571903</v>
      </c>
      <c r="C165" s="12">
        <v>950.87004800515501</v>
      </c>
      <c r="D165" s="8">
        <v>-1.80148113427293</v>
      </c>
      <c r="E165" s="12">
        <v>2.2270533915101999E-5</v>
      </c>
      <c r="F165" s="8" t="s">
        <v>3033</v>
      </c>
      <c r="G165" s="12" t="s">
        <v>3034</v>
      </c>
      <c r="H165" s="12">
        <v>1</v>
      </c>
      <c r="I165" s="13" t="str">
        <f>HYPERLINK("http://www.ncbi.nlm.nih.gov/gene/4081", "4081")</f>
        <v>4081</v>
      </c>
      <c r="J165" s="13" t="str">
        <f>HYPERLINK("http://www.ncbi.nlm.nih.gov/nuccore/NM_005584", "NM_005584")</f>
        <v>NM_005584</v>
      </c>
      <c r="K165" s="12" t="s">
        <v>3035</v>
      </c>
      <c r="L165" s="13" t="str">
        <f>HYPERLINK("http://asia.ensembl.org/Homo_sapiens/Gene/Summary?g=ENSG00000180660", "ENSG00000180660")</f>
        <v>ENSG00000180660</v>
      </c>
      <c r="M165" s="12" t="s">
        <v>3036</v>
      </c>
      <c r="N165" s="12" t="s">
        <v>3037</v>
      </c>
    </row>
    <row r="166" spans="1:14">
      <c r="A166" s="12" t="s">
        <v>10918</v>
      </c>
      <c r="B166" s="8">
        <v>773.57163782845601</v>
      </c>
      <c r="C166" s="12">
        <v>2695.8551807594099</v>
      </c>
      <c r="D166" s="8">
        <v>-1.80113619211134</v>
      </c>
      <c r="E166" s="12">
        <v>6.5721717521723599E-3</v>
      </c>
      <c r="F166" s="8" t="s">
        <v>10919</v>
      </c>
      <c r="G166" s="12" t="s">
        <v>10917</v>
      </c>
      <c r="H166" s="12">
        <v>4</v>
      </c>
      <c r="I166" s="12" t="s">
        <v>10920</v>
      </c>
      <c r="J166" s="12" t="s">
        <v>19904</v>
      </c>
      <c r="K166" s="12" t="s">
        <v>19905</v>
      </c>
      <c r="L166" s="13" t="str">
        <f>HYPERLINK("http://asia.ensembl.org/Homo_sapiens/Gene/Summary?g=ENSG00000275718", "ENSG00000275718")</f>
        <v>ENSG00000275718</v>
      </c>
      <c r="M166" s="12" t="s">
        <v>19906</v>
      </c>
      <c r="N166" s="12" t="s">
        <v>19907</v>
      </c>
    </row>
    <row r="167" spans="1:14">
      <c r="A167" s="12" t="s">
        <v>9296</v>
      </c>
      <c r="B167" s="8">
        <v>260.771928783779</v>
      </c>
      <c r="C167" s="12">
        <v>907.79223579753295</v>
      </c>
      <c r="D167" s="8">
        <v>-1.79957357250242</v>
      </c>
      <c r="E167" s="12">
        <v>2.36032623645458E-5</v>
      </c>
      <c r="F167" s="8" t="s">
        <v>9297</v>
      </c>
      <c r="G167" s="12" t="s">
        <v>9298</v>
      </c>
      <c r="H167" s="12">
        <v>1</v>
      </c>
      <c r="I167" s="13" t="str">
        <f>HYPERLINK("http://www.ncbi.nlm.nih.gov/gene/126006", "126006")</f>
        <v>126006</v>
      </c>
      <c r="J167" s="13" t="str">
        <f>HYPERLINK("http://www.ncbi.nlm.nih.gov/nuccore/NM_174895", "NM_174895")</f>
        <v>NM_174895</v>
      </c>
      <c r="K167" s="12" t="s">
        <v>9299</v>
      </c>
      <c r="L167" s="13" t="str">
        <f>HYPERLINK("http://asia.ensembl.org/Homo_sapiens/Gene/Summary?g=ENSG00000174788", "ENSG00000174788")</f>
        <v>ENSG00000174788</v>
      </c>
      <c r="M167" s="12" t="s">
        <v>19118</v>
      </c>
      <c r="N167" s="12" t="s">
        <v>19119</v>
      </c>
    </row>
    <row r="168" spans="1:14">
      <c r="A168" s="12" t="s">
        <v>11603</v>
      </c>
      <c r="B168" s="8">
        <v>8994.3141715101901</v>
      </c>
      <c r="C168" s="12">
        <v>31284.193901041399</v>
      </c>
      <c r="D168" s="8">
        <v>-1.79834874727685</v>
      </c>
      <c r="E168" s="12">
        <v>1.1567005510535299E-3</v>
      </c>
      <c r="F168" s="8" t="s">
        <v>11596</v>
      </c>
      <c r="G168" s="12" t="s">
        <v>20141</v>
      </c>
      <c r="H168" s="12">
        <v>4</v>
      </c>
      <c r="I168" s="12" t="s">
        <v>11597</v>
      </c>
      <c r="J168" s="12" t="s">
        <v>11598</v>
      </c>
      <c r="K168" s="12" t="s">
        <v>11599</v>
      </c>
      <c r="L168" s="12" t="s">
        <v>11600</v>
      </c>
      <c r="M168" s="12" t="s">
        <v>11601</v>
      </c>
      <c r="N168" s="12" t="s">
        <v>11602</v>
      </c>
    </row>
    <row r="169" spans="1:14">
      <c r="A169" s="12" t="s">
        <v>1316</v>
      </c>
      <c r="B169" s="8">
        <v>52.926597634558597</v>
      </c>
      <c r="C169" s="12">
        <v>184.056564831911</v>
      </c>
      <c r="D169" s="8">
        <v>-1.79808438893609</v>
      </c>
      <c r="E169" s="12">
        <v>1.9578801357720901E-3</v>
      </c>
      <c r="F169" s="8" t="s">
        <v>1317</v>
      </c>
      <c r="G169" s="12" t="s">
        <v>1318</v>
      </c>
      <c r="H169" s="12">
        <v>1</v>
      </c>
      <c r="I169" s="13" t="str">
        <f>HYPERLINK("http://www.ncbi.nlm.nih.gov/gene/55351", "55351")</f>
        <v>55351</v>
      </c>
      <c r="J169" s="13" t="str">
        <f>HYPERLINK("http://www.ncbi.nlm.nih.gov/nuccore/NM_018401", "NM_018401")</f>
        <v>NM_018401</v>
      </c>
      <c r="K169" s="12" t="s">
        <v>1319</v>
      </c>
      <c r="L169" s="13" t="str">
        <f>HYPERLINK("http://asia.ensembl.org/Homo_sapiens/Gene/Summary?g=ENSG00000152953", "ENSG00000152953")</f>
        <v>ENSG00000152953</v>
      </c>
      <c r="M169" s="12" t="s">
        <v>16573</v>
      </c>
      <c r="N169" s="12" t="s">
        <v>16574</v>
      </c>
    </row>
    <row r="170" spans="1:14">
      <c r="A170" s="12" t="s">
        <v>11305</v>
      </c>
      <c r="B170" s="8">
        <v>27230.2576411099</v>
      </c>
      <c r="C170" s="12">
        <v>94263.876756223806</v>
      </c>
      <c r="D170" s="8">
        <v>-1.7914943831555401</v>
      </c>
      <c r="E170" s="12">
        <v>2.2887856944741E-3</v>
      </c>
      <c r="F170" s="8" t="s">
        <v>11306</v>
      </c>
      <c r="G170" s="12" t="s">
        <v>11307</v>
      </c>
      <c r="H170" s="12">
        <v>1</v>
      </c>
      <c r="I170" s="13" t="str">
        <f>HYPERLINK("http://www.ncbi.nlm.nih.gov/gene/100131801", "100131801")</f>
        <v>100131801</v>
      </c>
      <c r="J170" s="12" t="s">
        <v>20048</v>
      </c>
      <c r="K170" s="12" t="s">
        <v>20049</v>
      </c>
      <c r="L170" s="13" t="str">
        <f>HYPERLINK("http://asia.ensembl.org/Homo_sapiens/Gene/Summary?g=ENSG00000229833", "ENSG00000229833")</f>
        <v>ENSG00000229833</v>
      </c>
      <c r="M170" s="12" t="s">
        <v>20050</v>
      </c>
      <c r="N170" s="12" t="s">
        <v>20051</v>
      </c>
    </row>
    <row r="171" spans="1:14">
      <c r="A171" s="12" t="s">
        <v>9892</v>
      </c>
      <c r="B171" s="8">
        <v>17400.216217269099</v>
      </c>
      <c r="C171" s="12">
        <v>60221.856642681298</v>
      </c>
      <c r="D171" s="8">
        <v>-1.79118195380949</v>
      </c>
      <c r="E171" s="12">
        <v>1.42340168925013E-3</v>
      </c>
      <c r="F171" s="8" t="s">
        <v>9893</v>
      </c>
      <c r="G171" s="12" t="s">
        <v>9894</v>
      </c>
      <c r="H171" s="12">
        <v>1</v>
      </c>
      <c r="I171" s="13" t="str">
        <f>HYPERLINK("http://www.ncbi.nlm.nih.gov/gene/84681", "84681")</f>
        <v>84681</v>
      </c>
      <c r="J171" s="13" t="str">
        <f>HYPERLINK("http://www.ncbi.nlm.nih.gov/nuccore/NM_032593", "NM_032593")</f>
        <v>NM_032593</v>
      </c>
      <c r="K171" s="12" t="s">
        <v>9895</v>
      </c>
      <c r="L171" s="13" t="str">
        <f>HYPERLINK("http://asia.ensembl.org/Homo_sapiens/Gene/Summary?g=ENSG00000137133", "ENSG00000137133")</f>
        <v>ENSG00000137133</v>
      </c>
      <c r="M171" s="12" t="s">
        <v>19401</v>
      </c>
      <c r="N171" s="12" t="s">
        <v>9896</v>
      </c>
    </row>
    <row r="172" spans="1:14">
      <c r="A172" s="12" t="s">
        <v>9611</v>
      </c>
      <c r="B172" s="8">
        <v>542.65786312668604</v>
      </c>
      <c r="C172" s="12">
        <v>1877.73114452296</v>
      </c>
      <c r="D172" s="8">
        <v>-1.7908757169910099</v>
      </c>
      <c r="E172" s="12">
        <v>2.1291077883368701E-3</v>
      </c>
      <c r="F172" s="8" t="s">
        <v>7153</v>
      </c>
      <c r="G172" s="12" t="s">
        <v>7154</v>
      </c>
      <c r="H172" s="12">
        <v>1</v>
      </c>
      <c r="I172" s="13" t="str">
        <f>HYPERLINK("http://www.ncbi.nlm.nih.gov/gene/1163", "1163")</f>
        <v>1163</v>
      </c>
      <c r="J172" s="13" t="str">
        <f>HYPERLINK("http://www.ncbi.nlm.nih.gov/nuccore/NR_024163", "NR_024163")</f>
        <v>NR_024163</v>
      </c>
      <c r="K172" s="12" t="s">
        <v>199</v>
      </c>
      <c r="L172" s="13" t="str">
        <f>HYPERLINK("http://asia.ensembl.org/Homo_sapiens/Gene/Summary?g=ENSG00000173207", "ENSG00000173207")</f>
        <v>ENSG00000173207</v>
      </c>
      <c r="M172" s="12" t="s">
        <v>18392</v>
      </c>
      <c r="N172" s="12" t="s">
        <v>18393</v>
      </c>
    </row>
    <row r="173" spans="1:14">
      <c r="A173" s="12" t="s">
        <v>4823</v>
      </c>
      <c r="B173" s="8">
        <v>486.69309938495599</v>
      </c>
      <c r="C173" s="12">
        <v>1684.0577264303099</v>
      </c>
      <c r="D173" s="8">
        <v>-1.7908573676962001</v>
      </c>
      <c r="E173" s="12">
        <v>1.95114132923279E-2</v>
      </c>
      <c r="F173" s="8" t="s">
        <v>4824</v>
      </c>
      <c r="G173" s="12" t="s">
        <v>4825</v>
      </c>
      <c r="H173" s="12">
        <v>1</v>
      </c>
      <c r="I173" s="13" t="str">
        <f>HYPERLINK("http://www.ncbi.nlm.nih.gov/gene/170961", "170961")</f>
        <v>170961</v>
      </c>
      <c r="J173" s="13" t="str">
        <f>HYPERLINK("http://www.ncbi.nlm.nih.gov/nuccore/NM_133475", "NM_133475")</f>
        <v>NM_133475</v>
      </c>
      <c r="K173" s="12" t="s">
        <v>4826</v>
      </c>
      <c r="L173" s="13" t="str">
        <f>HYPERLINK("http://asia.ensembl.org/Homo_sapiens/Gene/Summary?g=ENSG00000089847", "ENSG00000089847")</f>
        <v>ENSG00000089847</v>
      </c>
      <c r="M173" s="12" t="s">
        <v>17747</v>
      </c>
      <c r="N173" s="12" t="s">
        <v>17748</v>
      </c>
    </row>
    <row r="174" spans="1:14">
      <c r="A174" s="12" t="s">
        <v>7476</v>
      </c>
      <c r="B174" s="8">
        <v>1828.8135022491699</v>
      </c>
      <c r="C174" s="12">
        <v>6322.95210163519</v>
      </c>
      <c r="D174" s="8">
        <v>-1.78969033046565</v>
      </c>
      <c r="E174" s="12">
        <v>1.87789237500734E-3</v>
      </c>
      <c r="F174" s="8" t="s">
        <v>1388</v>
      </c>
      <c r="G174" s="12" t="s">
        <v>1389</v>
      </c>
      <c r="H174" s="12">
        <v>1</v>
      </c>
      <c r="I174" s="13" t="str">
        <f>HYPERLINK("http://www.ncbi.nlm.nih.gov/gene/3198", "3198")</f>
        <v>3198</v>
      </c>
      <c r="J174" s="12" t="s">
        <v>18537</v>
      </c>
      <c r="K174" s="12" t="s">
        <v>18538</v>
      </c>
      <c r="L174" s="13" t="str">
        <f>HYPERLINK("http://asia.ensembl.org/Homo_sapiens/Gene/Summary?g=ENSG00000105991", "ENSG00000105991")</f>
        <v>ENSG00000105991</v>
      </c>
      <c r="M174" s="12" t="s">
        <v>18539</v>
      </c>
      <c r="N174" s="12" t="s">
        <v>18540</v>
      </c>
    </row>
    <row r="175" spans="1:14">
      <c r="A175" s="12" t="s">
        <v>4993</v>
      </c>
      <c r="B175" s="8">
        <v>6118.5570424646403</v>
      </c>
      <c r="C175" s="12">
        <v>21112.484244247298</v>
      </c>
      <c r="D175" s="8">
        <v>-1.78683298330343</v>
      </c>
      <c r="E175" s="12">
        <v>3.3386122868560102E-4</v>
      </c>
      <c r="F175" s="8" t="s">
        <v>4994</v>
      </c>
      <c r="G175" s="12" t="s">
        <v>4995</v>
      </c>
      <c r="H175" s="12">
        <v>1</v>
      </c>
      <c r="I175" s="13" t="str">
        <f>HYPERLINK("http://www.ncbi.nlm.nih.gov/gene/51693", "51693")</f>
        <v>51693</v>
      </c>
      <c r="J175" s="13" t="str">
        <f>HYPERLINK("http://www.ncbi.nlm.nih.gov/nuccore/NM_016209", "NM_016209")</f>
        <v>NM_016209</v>
      </c>
      <c r="K175" s="12" t="s">
        <v>4996</v>
      </c>
      <c r="L175" s="13" t="str">
        <f>HYPERLINK("http://asia.ensembl.org/Homo_sapiens/Gene/Summary?g=ENSG00000167515", "ENSG00000167515")</f>
        <v>ENSG00000167515</v>
      </c>
      <c r="M175" s="12" t="s">
        <v>17774</v>
      </c>
      <c r="N175" s="12" t="s">
        <v>17775</v>
      </c>
    </row>
    <row r="176" spans="1:14">
      <c r="A176" s="12" t="s">
        <v>10695</v>
      </c>
      <c r="B176" s="8">
        <v>98.671888081225305</v>
      </c>
      <c r="C176" s="12">
        <v>340.36496896556798</v>
      </c>
      <c r="D176" s="8">
        <v>-1.78637153948071</v>
      </c>
      <c r="E176" s="12">
        <v>3.5518818860454E-3</v>
      </c>
      <c r="F176" s="8" t="s">
        <v>2552</v>
      </c>
      <c r="G176" s="12" t="s">
        <v>19833</v>
      </c>
      <c r="H176" s="12">
        <v>1</v>
      </c>
      <c r="I176" s="13" t="str">
        <f>HYPERLINK("http://www.ncbi.nlm.nih.gov/gene/54769", "54769")</f>
        <v>54769</v>
      </c>
      <c r="J176" s="13" t="str">
        <f>HYPERLINK("http://www.ncbi.nlm.nih.gov/nuccore/NM_017594", "NM_017594")</f>
        <v>NM_017594</v>
      </c>
      <c r="K176" s="12" t="s">
        <v>2553</v>
      </c>
      <c r="L176" s="13" t="str">
        <f>HYPERLINK("http://asia.ensembl.org/Homo_sapiens/Gene/Summary?g=ENSG00000165023", "ENSG00000165023")</f>
        <v>ENSG00000165023</v>
      </c>
      <c r="M176" s="12" t="s">
        <v>2554</v>
      </c>
      <c r="N176" s="12" t="s">
        <v>2555</v>
      </c>
    </row>
    <row r="177" spans="1:14">
      <c r="A177" s="12" t="s">
        <v>11595</v>
      </c>
      <c r="B177" s="8">
        <v>10251.9094546168</v>
      </c>
      <c r="C177" s="12">
        <v>35135.277914067199</v>
      </c>
      <c r="D177" s="8">
        <v>-1.77702766823629</v>
      </c>
      <c r="E177" s="12">
        <v>2.5242888150788499E-3</v>
      </c>
      <c r="F177" s="8" t="s">
        <v>11596</v>
      </c>
      <c r="G177" s="12" t="s">
        <v>20141</v>
      </c>
      <c r="H177" s="12">
        <v>4</v>
      </c>
      <c r="I177" s="12" t="s">
        <v>11597</v>
      </c>
      <c r="J177" s="12" t="s">
        <v>11598</v>
      </c>
      <c r="K177" s="12" t="s">
        <v>11599</v>
      </c>
      <c r="L177" s="12" t="s">
        <v>11600</v>
      </c>
      <c r="M177" s="12" t="s">
        <v>11601</v>
      </c>
      <c r="N177" s="12" t="s">
        <v>11602</v>
      </c>
    </row>
    <row r="178" spans="1:14">
      <c r="A178" s="12" t="s">
        <v>4528</v>
      </c>
      <c r="B178" s="8">
        <v>554.53794525092303</v>
      </c>
      <c r="C178" s="12">
        <v>1891.4745508343899</v>
      </c>
      <c r="D178" s="8">
        <v>-1.77015327766609</v>
      </c>
      <c r="E178" s="12">
        <v>2.3451236523774201E-3</v>
      </c>
      <c r="F178" s="8" t="s">
        <v>4529</v>
      </c>
      <c r="G178" s="12" t="s">
        <v>4530</v>
      </c>
      <c r="H178" s="12">
        <v>1</v>
      </c>
      <c r="I178" s="13" t="str">
        <f>HYPERLINK("http://www.ncbi.nlm.nih.gov/gene/56925", "56925")</f>
        <v>56925</v>
      </c>
      <c r="J178" s="13" t="str">
        <f>HYPERLINK("http://www.ncbi.nlm.nih.gov/nuccore/NM_020169", "NM_020169")</f>
        <v>NM_020169</v>
      </c>
      <c r="K178" s="12" t="s">
        <v>4531</v>
      </c>
      <c r="L178" s="13" t="str">
        <f>HYPERLINK("http://asia.ensembl.org/Homo_sapiens/Gene/Summary?g=ENSG00000079257", "ENSG00000079257")</f>
        <v>ENSG00000079257</v>
      </c>
      <c r="M178" s="12" t="s">
        <v>17707</v>
      </c>
      <c r="N178" s="12" t="s">
        <v>17708</v>
      </c>
    </row>
    <row r="179" spans="1:14">
      <c r="A179" s="12" t="s">
        <v>8831</v>
      </c>
      <c r="B179" s="8">
        <v>59.759280381813298</v>
      </c>
      <c r="C179" s="12">
        <v>203.41985034194701</v>
      </c>
      <c r="D179" s="8">
        <v>-1.7672257882511999</v>
      </c>
      <c r="E179" s="12">
        <v>6.3937067900529804E-3</v>
      </c>
      <c r="F179" s="8" t="s">
        <v>8832</v>
      </c>
      <c r="G179" s="12" t="s">
        <v>18970</v>
      </c>
      <c r="H179" s="12">
        <v>1</v>
      </c>
      <c r="I179" s="13" t="str">
        <f>HYPERLINK("http://www.ncbi.nlm.nih.gov/gene/79789", "79789")</f>
        <v>79789</v>
      </c>
      <c r="J179" s="13" t="str">
        <f>HYPERLINK("http://www.ncbi.nlm.nih.gov/nuccore/NM_024734", "NM_024734")</f>
        <v>NM_024734</v>
      </c>
      <c r="K179" s="12" t="s">
        <v>8833</v>
      </c>
      <c r="L179" s="13" t="str">
        <f>HYPERLINK("http://asia.ensembl.org/Homo_sapiens/Gene/Summary?g=ENSG00000165959", "ENSG00000165959")</f>
        <v>ENSG00000165959</v>
      </c>
      <c r="M179" s="12" t="s">
        <v>18971</v>
      </c>
      <c r="N179" s="12" t="s">
        <v>18972</v>
      </c>
    </row>
    <row r="180" spans="1:14">
      <c r="A180" s="12" t="s">
        <v>7025</v>
      </c>
      <c r="B180" s="8">
        <v>8996.6983706410192</v>
      </c>
      <c r="C180" s="12">
        <v>30559.919374442099</v>
      </c>
      <c r="D180" s="8">
        <v>-1.7641731770611</v>
      </c>
      <c r="E180" s="12">
        <v>4.0405448170355001E-3</v>
      </c>
      <c r="F180" s="8" t="s">
        <v>7026</v>
      </c>
      <c r="G180" s="12" t="s">
        <v>286</v>
      </c>
      <c r="H180" s="12">
        <v>1</v>
      </c>
      <c r="I180" s="13" t="str">
        <f>HYPERLINK("http://www.ncbi.nlm.nih.gov/gene/4696", "4696")</f>
        <v>4696</v>
      </c>
      <c r="J180" s="13" t="str">
        <f>HYPERLINK("http://www.ncbi.nlm.nih.gov/nuccore/NM_004542", "NM_004542")</f>
        <v>NM_004542</v>
      </c>
      <c r="K180" s="12" t="s">
        <v>7027</v>
      </c>
      <c r="L180" s="13" t="str">
        <f>HYPERLINK("http://asia.ensembl.org/Homo_sapiens/Gene/Summary?g=ENSG00000276220", "ENSG00000276220")</f>
        <v>ENSG00000276220</v>
      </c>
      <c r="M180" s="12" t="s">
        <v>7028</v>
      </c>
      <c r="N180" s="12" t="s">
        <v>7029</v>
      </c>
    </row>
    <row r="181" spans="1:14">
      <c r="A181" s="12" t="s">
        <v>5279</v>
      </c>
      <c r="B181" s="8">
        <v>270.18003890136299</v>
      </c>
      <c r="C181" s="12">
        <v>916.33616795396699</v>
      </c>
      <c r="D181" s="8">
        <v>-1.7619558726609801</v>
      </c>
      <c r="E181" s="12">
        <v>3.9156097306054603E-3</v>
      </c>
      <c r="F181" s="8" t="s">
        <v>5280</v>
      </c>
      <c r="G181" s="12" t="s">
        <v>5281</v>
      </c>
      <c r="H181" s="12">
        <v>1</v>
      </c>
      <c r="I181" s="13" t="str">
        <f>HYPERLINK("http://www.ncbi.nlm.nih.gov/gene/4208", "4208")</f>
        <v>4208</v>
      </c>
      <c r="J181" s="12" t="s">
        <v>17839</v>
      </c>
      <c r="K181" s="12" t="s">
        <v>17840</v>
      </c>
      <c r="L181" s="13" t="str">
        <f>HYPERLINK("http://asia.ensembl.org/Homo_sapiens/Gene/Summary?g=ENSG00000081189", "ENSG00000081189")</f>
        <v>ENSG00000081189</v>
      </c>
      <c r="M181" s="12" t="s">
        <v>17841</v>
      </c>
      <c r="N181" s="12" t="s">
        <v>17842</v>
      </c>
    </row>
    <row r="182" spans="1:14">
      <c r="A182" s="12" t="s">
        <v>10754</v>
      </c>
      <c r="B182" s="8">
        <v>1025.73592542755</v>
      </c>
      <c r="C182" s="12">
        <v>3475.7338251076399</v>
      </c>
      <c r="D182" s="8">
        <v>-1.7606582449547801</v>
      </c>
      <c r="E182" s="12">
        <v>1.3029168606480299E-3</v>
      </c>
      <c r="F182" s="8" t="s">
        <v>5926</v>
      </c>
      <c r="G182" s="12" t="s">
        <v>5927</v>
      </c>
      <c r="H182" s="12">
        <v>1</v>
      </c>
      <c r="I182" s="13" t="str">
        <f>HYPERLINK("http://www.ncbi.nlm.nih.gov/gene/9021", "9021")</f>
        <v>9021</v>
      </c>
      <c r="J182" s="13" t="str">
        <f>HYPERLINK("http://www.ncbi.nlm.nih.gov/nuccore/NM_003955", "NM_003955")</f>
        <v>NM_003955</v>
      </c>
      <c r="K182" s="12" t="s">
        <v>5928</v>
      </c>
      <c r="L182" s="13" t="str">
        <f>HYPERLINK("http://asia.ensembl.org/Homo_sapiens/Gene/Summary?g=ENSG00000184557", "ENSG00000184557")</f>
        <v>ENSG00000184557</v>
      </c>
      <c r="M182" s="12" t="s">
        <v>19849</v>
      </c>
      <c r="N182" s="12" t="s">
        <v>19850</v>
      </c>
    </row>
    <row r="183" spans="1:14">
      <c r="A183" s="12" t="s">
        <v>11076</v>
      </c>
      <c r="B183" s="8">
        <v>648.72907684180905</v>
      </c>
      <c r="C183" s="12">
        <v>2197.5197934683902</v>
      </c>
      <c r="D183" s="8">
        <v>-1.76018815128991</v>
      </c>
      <c r="E183" s="12">
        <v>6.9554253935792795E-4</v>
      </c>
      <c r="F183" s="8" t="s">
        <v>1841</v>
      </c>
      <c r="G183" s="12" t="s">
        <v>19953</v>
      </c>
      <c r="H183" s="12">
        <v>1</v>
      </c>
      <c r="I183" s="13" t="str">
        <f>HYPERLINK("http://www.ncbi.nlm.nih.gov/gene/5164", "5164")</f>
        <v>5164</v>
      </c>
      <c r="J183" s="13" t="str">
        <f>HYPERLINK("http://www.ncbi.nlm.nih.gov/nuccore/NM_001199900", "NM_001199900")</f>
        <v>NM_001199900</v>
      </c>
      <c r="K183" s="12" t="s">
        <v>11077</v>
      </c>
      <c r="L183" s="13" t="str">
        <f>HYPERLINK("http://asia.ensembl.org/Homo_sapiens/Gene/Summary?g=ENSG00000005882", "ENSG00000005882")</f>
        <v>ENSG00000005882</v>
      </c>
      <c r="M183" s="12" t="s">
        <v>19954</v>
      </c>
      <c r="N183" s="12" t="s">
        <v>19955</v>
      </c>
    </row>
    <row r="184" spans="1:14">
      <c r="A184" s="12" t="s">
        <v>6748</v>
      </c>
      <c r="B184" s="8">
        <v>1936.4543567061301</v>
      </c>
      <c r="C184" s="12">
        <v>6552.6393195738201</v>
      </c>
      <c r="D184" s="8">
        <v>-1.7586586262280599</v>
      </c>
      <c r="E184" s="12">
        <v>4.9278687833527596E-3</v>
      </c>
      <c r="F184" s="8" t="s">
        <v>6749</v>
      </c>
      <c r="G184" s="12" t="s">
        <v>6750</v>
      </c>
      <c r="H184" s="12">
        <v>1</v>
      </c>
      <c r="I184" s="13" t="str">
        <f>HYPERLINK("http://www.ncbi.nlm.nih.gov/gene/79095", "79095")</f>
        <v>79095</v>
      </c>
      <c r="J184" s="13" t="str">
        <f>HYPERLINK("http://www.ncbi.nlm.nih.gov/nuccore/NM_024112", "NM_024112")</f>
        <v>NM_024112</v>
      </c>
      <c r="K184" s="12" t="s">
        <v>6751</v>
      </c>
      <c r="L184" s="13" t="str">
        <f>HYPERLINK("http://asia.ensembl.org/Homo_sapiens/Gene/Summary?g=ENSG00000171159", "ENSG00000171159")</f>
        <v>ENSG00000171159</v>
      </c>
      <c r="M184" s="12" t="s">
        <v>18252</v>
      </c>
      <c r="N184" s="12" t="s">
        <v>6752</v>
      </c>
    </row>
    <row r="185" spans="1:14">
      <c r="A185" s="12" t="s">
        <v>4348</v>
      </c>
      <c r="B185" s="8">
        <v>513.45964104212396</v>
      </c>
      <c r="C185" s="12">
        <v>1733.71169932931</v>
      </c>
      <c r="D185" s="8">
        <v>-1.7555412239002599</v>
      </c>
      <c r="E185" s="12">
        <v>3.3351321467389299E-4</v>
      </c>
      <c r="F185" s="8" t="s">
        <v>4349</v>
      </c>
      <c r="G185" s="12" t="s">
        <v>4350</v>
      </c>
      <c r="H185" s="12">
        <v>1</v>
      </c>
      <c r="I185" s="13" t="str">
        <f>HYPERLINK("http://www.ncbi.nlm.nih.gov/gene/3204", "3204")</f>
        <v>3204</v>
      </c>
      <c r="J185" s="13" t="str">
        <f>HYPERLINK("http://www.ncbi.nlm.nih.gov/nuccore/NM_006896", "NM_006896")</f>
        <v>NM_006896</v>
      </c>
      <c r="K185" s="12" t="s">
        <v>4351</v>
      </c>
      <c r="L185" s="13" t="str">
        <f>HYPERLINK("http://asia.ensembl.org/Homo_sapiens/Gene/Summary?g=ENSG00000122592", "ENSG00000122592")</f>
        <v>ENSG00000122592</v>
      </c>
      <c r="M185" s="12" t="s">
        <v>17662</v>
      </c>
      <c r="N185" s="12" t="s">
        <v>17663</v>
      </c>
    </row>
    <row r="186" spans="1:14">
      <c r="A186" s="12" t="s">
        <v>9051</v>
      </c>
      <c r="B186" s="8">
        <v>2222.9082564954701</v>
      </c>
      <c r="C186" s="12">
        <v>7481.05465932877</v>
      </c>
      <c r="D186" s="8">
        <v>-1.7507932648667699</v>
      </c>
      <c r="E186" s="12">
        <v>1.70094509787359E-3</v>
      </c>
      <c r="F186" s="8" t="s">
        <v>9052</v>
      </c>
      <c r="G186" s="12" t="s">
        <v>19050</v>
      </c>
      <c r="H186" s="12">
        <v>1</v>
      </c>
      <c r="I186" s="13" t="str">
        <f>HYPERLINK("http://www.ncbi.nlm.nih.gov/gene/54474", "54474")</f>
        <v>54474</v>
      </c>
      <c r="J186" s="13" t="str">
        <f>HYPERLINK("http://www.ncbi.nlm.nih.gov/nuccore/NM_019010", "NM_019010")</f>
        <v>NM_019010</v>
      </c>
      <c r="K186" s="12" t="s">
        <v>9053</v>
      </c>
      <c r="L186" s="13" t="str">
        <f>HYPERLINK("http://asia.ensembl.org/Homo_sapiens/Gene/Summary?g=ENSG00000171431", "ENSG00000171431")</f>
        <v>ENSG00000171431</v>
      </c>
      <c r="M186" s="12" t="s">
        <v>19051</v>
      </c>
      <c r="N186" s="12" t="s">
        <v>9054</v>
      </c>
    </row>
    <row r="187" spans="1:14">
      <c r="A187" s="12" t="s">
        <v>10469</v>
      </c>
      <c r="B187" s="8">
        <v>222.68905779464799</v>
      </c>
      <c r="C187" s="12">
        <v>747.641300659904</v>
      </c>
      <c r="D187" s="8">
        <v>-1.74731559700591</v>
      </c>
      <c r="E187" s="12">
        <v>2.36602670015149E-3</v>
      </c>
      <c r="F187" s="8" t="s">
        <v>1321</v>
      </c>
      <c r="G187" s="12" t="s">
        <v>16575</v>
      </c>
      <c r="H187" s="12">
        <v>1</v>
      </c>
      <c r="I187" s="13" t="str">
        <f>HYPERLINK("http://www.ncbi.nlm.nih.gov/gene/11096", "11096")</f>
        <v>11096</v>
      </c>
      <c r="J187" s="13" t="str">
        <f>HYPERLINK("http://www.ncbi.nlm.nih.gov/nuccore/NM_007038", "NM_007038")</f>
        <v>NM_007038</v>
      </c>
      <c r="K187" s="12" t="s">
        <v>1322</v>
      </c>
      <c r="L187" s="13" t="str">
        <f>HYPERLINK("http://asia.ensembl.org/Homo_sapiens/Gene/Summary?g=ENSG00000154736", "ENSG00000154736")</f>
        <v>ENSG00000154736</v>
      </c>
      <c r="M187" s="12" t="s">
        <v>1323</v>
      </c>
      <c r="N187" s="12" t="s">
        <v>1324</v>
      </c>
    </row>
    <row r="188" spans="1:14">
      <c r="A188" s="12" t="s">
        <v>10575</v>
      </c>
      <c r="B188" s="8">
        <v>66.186381926717601</v>
      </c>
      <c r="C188" s="12">
        <v>222.187804340843</v>
      </c>
      <c r="D188" s="8">
        <v>-1.7471733175937501</v>
      </c>
      <c r="E188" s="12">
        <v>8.4491750463067204E-3</v>
      </c>
      <c r="F188" s="8" t="s">
        <v>6831</v>
      </c>
      <c r="G188" s="12" t="s">
        <v>278</v>
      </c>
      <c r="H188" s="12">
        <v>1</v>
      </c>
      <c r="I188" s="13" t="str">
        <f>HYPERLINK("http://www.ncbi.nlm.nih.gov/gene/57574", "57574")</f>
        <v>57574</v>
      </c>
      <c r="J188" s="13" t="str">
        <f>HYPERLINK("http://www.ncbi.nlm.nih.gov/nuccore/NM_020814", "NM_020814")</f>
        <v>NM_020814</v>
      </c>
      <c r="K188" s="12" t="s">
        <v>6832</v>
      </c>
      <c r="L188" s="13" t="str">
        <f>HYPERLINK("http://asia.ensembl.org/Homo_sapiens/Gene/Summary?g=ENSG00000144583", "ENSG00000144583")</f>
        <v>ENSG00000144583</v>
      </c>
      <c r="M188" s="12" t="s">
        <v>6833</v>
      </c>
      <c r="N188" s="12" t="s">
        <v>6834</v>
      </c>
    </row>
    <row r="189" spans="1:14">
      <c r="A189" s="12" t="s">
        <v>8432</v>
      </c>
      <c r="B189" s="8">
        <v>22244.8086635707</v>
      </c>
      <c r="C189" s="12">
        <v>74510.685030245804</v>
      </c>
      <c r="D189" s="8">
        <v>-1.7439786373387201</v>
      </c>
      <c r="E189" s="12">
        <v>2.10707305586133E-4</v>
      </c>
      <c r="F189" s="8" t="s">
        <v>2086</v>
      </c>
      <c r="G189" s="12" t="s">
        <v>2087</v>
      </c>
      <c r="H189" s="12">
        <v>1</v>
      </c>
      <c r="I189" s="13" t="str">
        <f>HYPERLINK("http://www.ncbi.nlm.nih.gov/gene/50854", "50854")</f>
        <v>50854</v>
      </c>
      <c r="J189" s="12" t="s">
        <v>16915</v>
      </c>
      <c r="K189" s="12" t="s">
        <v>16916</v>
      </c>
      <c r="L189" s="13" t="str">
        <f>HYPERLINK("http://asia.ensembl.org/Homo_sapiens/Gene/Summary?g=ENSG00000234728", "ENSG00000234728")</f>
        <v>ENSG00000234728</v>
      </c>
      <c r="M189" s="12" t="s">
        <v>16917</v>
      </c>
      <c r="N189" s="12" t="s">
        <v>16918</v>
      </c>
    </row>
    <row r="190" spans="1:14">
      <c r="A190" s="12" t="s">
        <v>3955</v>
      </c>
      <c r="B190" s="8">
        <v>22126.070425542301</v>
      </c>
      <c r="C190" s="12">
        <v>73960.922771272802</v>
      </c>
      <c r="D190" s="8">
        <v>-1.74101597232676</v>
      </c>
      <c r="E190" s="12">
        <v>3.6215950394913698E-3</v>
      </c>
      <c r="F190" s="8" t="s">
        <v>3956</v>
      </c>
      <c r="G190" s="12" t="s">
        <v>3957</v>
      </c>
      <c r="H190" s="12">
        <v>1</v>
      </c>
      <c r="I190" s="13" t="str">
        <f>HYPERLINK("http://www.ncbi.nlm.nih.gov/gene/84987", "84987")</f>
        <v>84987</v>
      </c>
      <c r="J190" s="12" t="s">
        <v>17494</v>
      </c>
      <c r="K190" s="12" t="s">
        <v>17495</v>
      </c>
      <c r="L190" s="13" t="str">
        <f>HYPERLINK("http://asia.ensembl.org/Homo_sapiens/Gene/Summary?g=ENSG00000178449", "ENSG00000178449")</f>
        <v>ENSG00000178449</v>
      </c>
      <c r="M190" s="12" t="s">
        <v>17496</v>
      </c>
      <c r="N190" s="12" t="s">
        <v>17497</v>
      </c>
    </row>
    <row r="191" spans="1:14">
      <c r="A191" s="12" t="s">
        <v>11290</v>
      </c>
      <c r="B191" s="8">
        <v>210.63947322742601</v>
      </c>
      <c r="C191" s="12">
        <v>703.32623855014504</v>
      </c>
      <c r="D191" s="8">
        <v>-1.7394182214548499</v>
      </c>
      <c r="E191" s="12">
        <v>3.6954735964445499E-3</v>
      </c>
      <c r="F191" s="8" t="s">
        <v>5483</v>
      </c>
      <c r="G191" s="12" t="s">
        <v>5484</v>
      </c>
      <c r="H191" s="12">
        <v>1</v>
      </c>
      <c r="I191" s="13" t="str">
        <f>HYPERLINK("http://www.ncbi.nlm.nih.gov/gene/132014", "132014")</f>
        <v>132014</v>
      </c>
      <c r="J191" s="12" t="s">
        <v>20022</v>
      </c>
      <c r="K191" s="12" t="s">
        <v>20023</v>
      </c>
      <c r="L191" s="13" t="str">
        <f>HYPERLINK("http://asia.ensembl.org/Homo_sapiens/Gene/Summary?g=ENSG00000163701", "ENSG00000163701")</f>
        <v>ENSG00000163701</v>
      </c>
      <c r="M191" s="12" t="s">
        <v>20024</v>
      </c>
      <c r="N191" s="12" t="s">
        <v>20025</v>
      </c>
    </row>
    <row r="192" spans="1:14">
      <c r="A192" s="12" t="s">
        <v>3271</v>
      </c>
      <c r="B192" s="8">
        <v>15901.569288425801</v>
      </c>
      <c r="C192" s="12">
        <v>53044.278114635999</v>
      </c>
      <c r="D192" s="8">
        <v>-1.7380279873322499</v>
      </c>
      <c r="E192" s="12">
        <v>2.8005497671273398E-3</v>
      </c>
      <c r="F192" s="8" t="s">
        <v>3272</v>
      </c>
      <c r="G192" s="12" t="s">
        <v>3273</v>
      </c>
      <c r="H192" s="12">
        <v>1</v>
      </c>
      <c r="I192" s="13" t="str">
        <f>HYPERLINK("http://www.ncbi.nlm.nih.gov/gene/51282", "51282")</f>
        <v>51282</v>
      </c>
      <c r="J192" s="12" t="s">
        <v>17267</v>
      </c>
      <c r="K192" s="12" t="s">
        <v>17268</v>
      </c>
      <c r="L192" s="13" t="str">
        <f>HYPERLINK("http://asia.ensembl.org/Homo_sapiens/Gene/Summary?g=ENSG00000171222", "ENSG00000171222")</f>
        <v>ENSG00000171222</v>
      </c>
      <c r="M192" s="12" t="s">
        <v>17269</v>
      </c>
      <c r="N192" s="12" t="s">
        <v>17270</v>
      </c>
    </row>
    <row r="193" spans="1:14">
      <c r="A193" s="12" t="s">
        <v>6270</v>
      </c>
      <c r="B193" s="8">
        <v>1133.92721714861</v>
      </c>
      <c r="C193" s="12">
        <v>3777.2440309978701</v>
      </c>
      <c r="D193" s="8">
        <v>-1.7360059512564101</v>
      </c>
      <c r="E193" s="12">
        <v>1.8598994532451001E-4</v>
      </c>
      <c r="F193" s="8" t="s">
        <v>6271</v>
      </c>
      <c r="G193" s="12" t="s">
        <v>6272</v>
      </c>
      <c r="H193" s="12">
        <v>1</v>
      </c>
      <c r="I193" s="13" t="str">
        <f>HYPERLINK("http://www.ncbi.nlm.nih.gov/gene/64745", "64745")</f>
        <v>64745</v>
      </c>
      <c r="J193" s="12" t="s">
        <v>18107</v>
      </c>
      <c r="K193" s="12" t="s">
        <v>18108</v>
      </c>
      <c r="L193" s="13" t="str">
        <f>HYPERLINK("http://asia.ensembl.org/Homo_sapiens/Gene/Summary?g=ENSG00000165792", "ENSG00000165792")</f>
        <v>ENSG00000165792</v>
      </c>
      <c r="M193" s="12" t="s">
        <v>18109</v>
      </c>
      <c r="N193" s="12" t="s">
        <v>18110</v>
      </c>
    </row>
    <row r="194" spans="1:14">
      <c r="A194" s="12" t="s">
        <v>5331</v>
      </c>
      <c r="B194" s="8">
        <v>77.844166910596101</v>
      </c>
      <c r="C194" s="12">
        <v>259.184118725779</v>
      </c>
      <c r="D194" s="8">
        <v>-1.7353164779475301</v>
      </c>
      <c r="E194" s="12">
        <v>9.6942813279079307E-3</v>
      </c>
      <c r="F194" s="8" t="s">
        <v>5332</v>
      </c>
      <c r="G194" s="12" t="s">
        <v>5333</v>
      </c>
      <c r="H194" s="12">
        <v>1</v>
      </c>
      <c r="I194" s="13" t="str">
        <f>HYPERLINK("http://www.ncbi.nlm.nih.gov/gene/5368", "5368")</f>
        <v>5368</v>
      </c>
      <c r="J194" s="13" t="str">
        <f>HYPERLINK("http://www.ncbi.nlm.nih.gov/nuccore/NM_006228", "NM_006228")</f>
        <v>NM_006228</v>
      </c>
      <c r="K194" s="12" t="s">
        <v>5334</v>
      </c>
      <c r="L194" s="13" t="str">
        <f>HYPERLINK("http://asia.ensembl.org/Homo_sapiens/Gene/Summary?g=ENSG00000168081", "ENSG00000168081")</f>
        <v>ENSG00000168081</v>
      </c>
      <c r="M194" s="12" t="s">
        <v>17852</v>
      </c>
      <c r="N194" s="12" t="s">
        <v>17853</v>
      </c>
    </row>
    <row r="195" spans="1:14">
      <c r="A195" s="12" t="s">
        <v>9047</v>
      </c>
      <c r="B195" s="8">
        <v>5751.1789846368802</v>
      </c>
      <c r="C195" s="12">
        <v>19145.8443043759</v>
      </c>
      <c r="D195" s="8">
        <v>-1.73510164017902</v>
      </c>
      <c r="E195" s="12">
        <v>4.8088887001940901E-3</v>
      </c>
      <c r="F195" s="8" t="s">
        <v>8561</v>
      </c>
      <c r="G195" s="12" t="s">
        <v>8562</v>
      </c>
      <c r="H195" s="12">
        <v>1</v>
      </c>
      <c r="I195" s="13" t="str">
        <f>HYPERLINK("http://www.ncbi.nlm.nih.gov/gene/440957", "440957")</f>
        <v>440957</v>
      </c>
      <c r="J195" s="13" t="str">
        <f>HYPERLINK("http://www.ncbi.nlm.nih.gov/nuccore/NM_001124767", "NM_001124767")</f>
        <v>NM_001124767</v>
      </c>
      <c r="K195" s="12" t="s">
        <v>8563</v>
      </c>
      <c r="L195" s="13" t="str">
        <f>HYPERLINK("http://asia.ensembl.org/Homo_sapiens/Gene/Summary?g=ENSG00000168273", "ENSG00000168273")</f>
        <v>ENSG00000168273</v>
      </c>
      <c r="M195" s="12" t="s">
        <v>18914</v>
      </c>
      <c r="N195" s="12" t="s">
        <v>16083</v>
      </c>
    </row>
    <row r="196" spans="1:14">
      <c r="A196" s="12" t="s">
        <v>8288</v>
      </c>
      <c r="B196" s="8">
        <v>227.11974995186699</v>
      </c>
      <c r="C196" s="12">
        <v>754.86354976864197</v>
      </c>
      <c r="D196" s="8">
        <v>-1.73276271851761</v>
      </c>
      <c r="E196" s="12">
        <v>3.9187820775278201E-4</v>
      </c>
      <c r="F196" s="8" t="s">
        <v>8289</v>
      </c>
      <c r="G196" s="12" t="s">
        <v>8290</v>
      </c>
      <c r="H196" s="12">
        <v>1</v>
      </c>
      <c r="I196" s="13" t="str">
        <f>HYPERLINK("http://www.ncbi.nlm.nih.gov/gene/6130", "6130")</f>
        <v>6130</v>
      </c>
      <c r="J196" s="13" t="str">
        <f>HYPERLINK("http://www.ncbi.nlm.nih.gov/nuccore/NM_000972", "NM_000972")</f>
        <v>NM_000972</v>
      </c>
      <c r="K196" s="12" t="s">
        <v>8291</v>
      </c>
      <c r="L196" s="13" t="str">
        <f>HYPERLINK("http://asia.ensembl.org/Homo_sapiens/Gene/Summary?g=ENSG00000148303", "ENSG00000148303")</f>
        <v>ENSG00000148303</v>
      </c>
      <c r="M196" s="12" t="s">
        <v>18765</v>
      </c>
      <c r="N196" s="12" t="s">
        <v>18766</v>
      </c>
    </row>
    <row r="197" spans="1:14">
      <c r="A197" s="12" t="s">
        <v>10145</v>
      </c>
      <c r="B197" s="8">
        <v>498.629981000378</v>
      </c>
      <c r="C197" s="12">
        <v>1647.2805488208801</v>
      </c>
      <c r="D197" s="8">
        <v>-1.7240447466798099</v>
      </c>
      <c r="E197" s="12">
        <v>1.5640457237999299E-3</v>
      </c>
      <c r="F197" s="8" t="s">
        <v>10146</v>
      </c>
      <c r="G197" s="12" t="s">
        <v>19557</v>
      </c>
      <c r="H197" s="12">
        <v>1</v>
      </c>
      <c r="I197" s="13" t="str">
        <f>HYPERLINK("http://www.ncbi.nlm.nih.gov/gene/9502", "9502")</f>
        <v>9502</v>
      </c>
      <c r="J197" s="13" t="str">
        <f>HYPERLINK("http://www.ncbi.nlm.nih.gov/nuccore/NM_130777", "NM_130777")</f>
        <v>NM_130777</v>
      </c>
      <c r="K197" s="12" t="s">
        <v>10147</v>
      </c>
      <c r="L197" s="13" t="str">
        <f>HYPERLINK("http://asia.ensembl.org/Homo_sapiens/Gene/Summary?g=ENSG00000155622", "ENSG00000155622")</f>
        <v>ENSG00000155622</v>
      </c>
      <c r="M197" s="12" t="s">
        <v>10148</v>
      </c>
      <c r="N197" s="12" t="s">
        <v>10149</v>
      </c>
    </row>
    <row r="198" spans="1:14">
      <c r="A198" s="12" t="s">
        <v>9076</v>
      </c>
      <c r="B198" s="8">
        <v>347.16102316982102</v>
      </c>
      <c r="C198" s="12">
        <v>1145.1635607983701</v>
      </c>
      <c r="D198" s="8">
        <v>-1.7218767833006301</v>
      </c>
      <c r="E198" s="12">
        <v>1.15719370427133E-3</v>
      </c>
      <c r="F198" s="8" t="s">
        <v>9077</v>
      </c>
      <c r="G198" s="12" t="s">
        <v>19056</v>
      </c>
      <c r="H198" s="12">
        <v>1</v>
      </c>
      <c r="I198" s="13" t="str">
        <f>HYPERLINK("http://www.ncbi.nlm.nih.gov/gene/93408", "93408")</f>
        <v>93408</v>
      </c>
      <c r="J198" s="13" t="str">
        <f>HYPERLINK("http://www.ncbi.nlm.nih.gov/nuccore/NM_138403", "NM_138403")</f>
        <v>NM_138403</v>
      </c>
      <c r="K198" s="12" t="s">
        <v>9078</v>
      </c>
      <c r="L198" s="13" t="str">
        <f>HYPERLINK("http://asia.ensembl.org/Homo_sapiens/Gene/Summary?g=ENSG00000106436", "ENSG00000106436")</f>
        <v>ENSG00000106436</v>
      </c>
      <c r="M198" s="12" t="s">
        <v>9079</v>
      </c>
      <c r="N198" s="12" t="s">
        <v>9080</v>
      </c>
    </row>
    <row r="199" spans="1:14">
      <c r="A199" s="12" t="s">
        <v>2943</v>
      </c>
      <c r="B199" s="8">
        <v>1978.98581238511</v>
      </c>
      <c r="C199" s="12">
        <v>6523.7351366234598</v>
      </c>
      <c r="D199" s="8">
        <v>-1.7209369403317301</v>
      </c>
      <c r="E199" s="12">
        <v>5.0028418373462803E-5</v>
      </c>
      <c r="F199" s="8" t="s">
        <v>2944</v>
      </c>
      <c r="G199" s="12" t="s">
        <v>2945</v>
      </c>
      <c r="H199" s="12">
        <v>4</v>
      </c>
      <c r="I199" s="12" t="s">
        <v>2946</v>
      </c>
      <c r="J199" s="12" t="s">
        <v>17144</v>
      </c>
      <c r="K199" s="12" t="s">
        <v>17145</v>
      </c>
      <c r="L199" s="13" t="str">
        <f>HYPERLINK("http://asia.ensembl.org/Homo_sapiens/Gene/Summary?g=ENSG00000213920", "ENSG00000213920")</f>
        <v>ENSG00000213920</v>
      </c>
      <c r="M199" s="12" t="s">
        <v>17146</v>
      </c>
      <c r="N199" s="12" t="s">
        <v>17147</v>
      </c>
    </row>
    <row r="200" spans="1:14">
      <c r="A200" s="12" t="s">
        <v>4997</v>
      </c>
      <c r="B200" s="8">
        <v>256.05997427276702</v>
      </c>
      <c r="C200" s="12">
        <v>843.50222270016002</v>
      </c>
      <c r="D200" s="8">
        <v>-1.7199101128377901</v>
      </c>
      <c r="E200" s="12">
        <v>8.8191778065498496E-4</v>
      </c>
      <c r="F200" s="8" t="s">
        <v>4998</v>
      </c>
      <c r="G200" s="12" t="s">
        <v>4999</v>
      </c>
      <c r="H200" s="12">
        <v>1</v>
      </c>
      <c r="I200" s="13" t="str">
        <f>HYPERLINK("http://www.ncbi.nlm.nih.gov/gene/57348", "57348")</f>
        <v>57348</v>
      </c>
      <c r="J200" s="12" t="s">
        <v>17776</v>
      </c>
      <c r="K200" s="12" t="s">
        <v>17777</v>
      </c>
      <c r="L200" s="13" t="str">
        <f>HYPERLINK("http://asia.ensembl.org/Homo_sapiens/Gene/Summary?g=ENSG00000275650", "ENSG00000275650")</f>
        <v>ENSG00000275650</v>
      </c>
      <c r="M200" s="12" t="s">
        <v>17778</v>
      </c>
      <c r="N200" s="12" t="s">
        <v>17779</v>
      </c>
    </row>
    <row r="201" spans="1:14">
      <c r="A201" s="12" t="s">
        <v>1870</v>
      </c>
      <c r="B201" s="8">
        <v>49572.932015719598</v>
      </c>
      <c r="C201" s="12">
        <v>163045.113628944</v>
      </c>
      <c r="D201" s="8">
        <v>-1.71764670960897</v>
      </c>
      <c r="E201" s="12">
        <v>9.8735433821950901E-4</v>
      </c>
      <c r="F201" s="8" t="s">
        <v>1871</v>
      </c>
      <c r="G201" s="12" t="s">
        <v>16818</v>
      </c>
      <c r="H201" s="12">
        <v>1</v>
      </c>
      <c r="I201" s="13" t="str">
        <f>HYPERLINK("http://www.ncbi.nlm.nih.gov/gene/83982", "83982")</f>
        <v>83982</v>
      </c>
      <c r="J201" s="13" t="str">
        <f>HYPERLINK("http://www.ncbi.nlm.nih.gov/nuccore/NM_032036", "NM_032036")</f>
        <v>NM_032036</v>
      </c>
      <c r="K201" s="12" t="s">
        <v>1872</v>
      </c>
      <c r="L201" s="13" t="str">
        <f>HYPERLINK("http://asia.ensembl.org/Homo_sapiens/Gene/Summary?g=ENSG00000119632", "ENSG00000119632")</f>
        <v>ENSG00000119632</v>
      </c>
      <c r="M201" s="12" t="s">
        <v>16819</v>
      </c>
      <c r="N201" s="12" t="s">
        <v>16820</v>
      </c>
    </row>
    <row r="202" spans="1:14">
      <c r="A202" s="12" t="s">
        <v>544</v>
      </c>
      <c r="B202" s="8">
        <v>288.89146768163403</v>
      </c>
      <c r="C202" s="12">
        <v>949.42221350393595</v>
      </c>
      <c r="D202" s="8">
        <v>-1.7165222097154</v>
      </c>
      <c r="E202" s="12">
        <v>1.44661940602654E-3</v>
      </c>
      <c r="F202" s="8" t="s">
        <v>545</v>
      </c>
      <c r="G202" s="12" t="s">
        <v>546</v>
      </c>
      <c r="H202" s="12">
        <v>1</v>
      </c>
      <c r="I202" s="13" t="str">
        <f>HYPERLINK("http://www.ncbi.nlm.nih.gov/gene/54206", "54206")</f>
        <v>54206</v>
      </c>
      <c r="J202" s="13" t="str">
        <f>HYPERLINK("http://www.ncbi.nlm.nih.gov/nuccore/NM_018948", "NM_018948")</f>
        <v>NM_018948</v>
      </c>
      <c r="K202" s="12" t="s">
        <v>547</v>
      </c>
      <c r="L202" s="13" t="str">
        <f>HYPERLINK("http://asia.ensembl.org/Homo_sapiens/Gene/Summary?g=ENSG00000116285", "ENSG00000116285")</f>
        <v>ENSG00000116285</v>
      </c>
      <c r="M202" s="12" t="s">
        <v>16370</v>
      </c>
      <c r="N202" s="12" t="s">
        <v>16371</v>
      </c>
    </row>
    <row r="203" spans="1:14">
      <c r="A203" s="12" t="s">
        <v>8346</v>
      </c>
      <c r="B203" s="8">
        <v>164.69932478717499</v>
      </c>
      <c r="C203" s="12">
        <v>541.12990296265002</v>
      </c>
      <c r="D203" s="8">
        <v>-1.71614032667904</v>
      </c>
      <c r="E203" s="12">
        <v>3.5646676337401798E-3</v>
      </c>
      <c r="F203" s="8" t="s">
        <v>8347</v>
      </c>
      <c r="G203" s="12" t="s">
        <v>8348</v>
      </c>
      <c r="H203" s="12">
        <v>1</v>
      </c>
      <c r="I203" s="13" t="str">
        <f>HYPERLINK("http://www.ncbi.nlm.nih.gov/gene/203238", "203238")</f>
        <v>203238</v>
      </c>
      <c r="J203" s="13" t="str">
        <f>HYPERLINK("http://www.ncbi.nlm.nih.gov/nuccore/NM_173550", "NM_173550")</f>
        <v>NM_173550</v>
      </c>
      <c r="K203" s="12" t="s">
        <v>8349</v>
      </c>
      <c r="L203" s="13" t="str">
        <f>HYPERLINK("http://asia.ensembl.org/Homo_sapiens/Gene/Summary?g=ENSG00000164989", "ENSG00000164989")</f>
        <v>ENSG00000164989</v>
      </c>
      <c r="M203" s="12" t="s">
        <v>18800</v>
      </c>
      <c r="N203" s="12" t="s">
        <v>18801</v>
      </c>
    </row>
    <row r="204" spans="1:14">
      <c r="A204" s="12" t="s">
        <v>7432</v>
      </c>
      <c r="B204" s="8">
        <v>221.232561904801</v>
      </c>
      <c r="C204" s="12">
        <v>725.82449992559998</v>
      </c>
      <c r="D204" s="8">
        <v>-1.7140570123508201</v>
      </c>
      <c r="E204" s="12">
        <v>2.2505630494711799E-3</v>
      </c>
      <c r="F204" s="8" t="s">
        <v>7433</v>
      </c>
      <c r="G204" s="12" t="s">
        <v>7434</v>
      </c>
      <c r="H204" s="12">
        <v>1</v>
      </c>
      <c r="I204" s="13" t="str">
        <f>HYPERLINK("http://www.ncbi.nlm.nih.gov/gene/90187", "90187")</f>
        <v>90187</v>
      </c>
      <c r="J204" s="13" t="str">
        <f>HYPERLINK("http://www.ncbi.nlm.nih.gov/nuccore/NM_052846", "NM_052846")</f>
        <v>NM_052846</v>
      </c>
      <c r="K204" s="12" t="s">
        <v>7435</v>
      </c>
      <c r="L204" s="13" t="str">
        <f>HYPERLINK("http://asia.ensembl.org/Homo_sapiens/Gene/Summary?g=ENSG00000183798", "ENSG00000183798")</f>
        <v>ENSG00000183798</v>
      </c>
      <c r="M204" s="12" t="s">
        <v>7436</v>
      </c>
      <c r="N204" s="12" t="s">
        <v>7437</v>
      </c>
    </row>
    <row r="205" spans="1:14">
      <c r="A205" s="12" t="s">
        <v>8434</v>
      </c>
      <c r="B205" s="8">
        <v>466.67851815249099</v>
      </c>
      <c r="C205" s="12">
        <v>1529.5708751406401</v>
      </c>
      <c r="D205" s="8">
        <v>-1.7126259933269501</v>
      </c>
      <c r="E205" s="12">
        <v>2.5078225746625001E-3</v>
      </c>
      <c r="F205" s="8" t="s">
        <v>8435</v>
      </c>
      <c r="G205" s="12" t="s">
        <v>352</v>
      </c>
      <c r="H205" s="12">
        <v>1</v>
      </c>
      <c r="I205" s="13" t="str">
        <f>HYPERLINK("http://www.ncbi.nlm.nih.gov/gene/283927", "283927")</f>
        <v>283927</v>
      </c>
      <c r="J205" s="12" t="s">
        <v>18821</v>
      </c>
      <c r="K205" s="12" t="s">
        <v>18822</v>
      </c>
      <c r="L205" s="13" t="str">
        <f>HYPERLINK("http://asia.ensembl.org/Homo_sapiens/Gene/Summary?g=ENSG00000140876", "ENSG00000140876")</f>
        <v>ENSG00000140876</v>
      </c>
      <c r="M205" s="12" t="s">
        <v>18823</v>
      </c>
      <c r="N205" s="12" t="s">
        <v>18824</v>
      </c>
    </row>
    <row r="206" spans="1:14">
      <c r="A206" s="12" t="s">
        <v>11650</v>
      </c>
      <c r="B206" s="8">
        <v>3378.7666158297902</v>
      </c>
      <c r="C206" s="12">
        <v>11072.9534397526</v>
      </c>
      <c r="D206" s="8">
        <v>-1.7124714704346899</v>
      </c>
      <c r="E206" s="12">
        <v>1.5314115232437199E-3</v>
      </c>
      <c r="F206" s="8" t="s">
        <v>11641</v>
      </c>
      <c r="G206" s="12" t="s">
        <v>11651</v>
      </c>
      <c r="H206" s="12">
        <v>1</v>
      </c>
      <c r="I206" s="13" t="str">
        <f>HYPERLINK("http://www.ncbi.nlm.nih.gov/gene/6396", "6396")</f>
        <v>6396</v>
      </c>
      <c r="J206" s="12" t="s">
        <v>20172</v>
      </c>
      <c r="K206" s="12" t="s">
        <v>20173</v>
      </c>
      <c r="L206" s="13" t="str">
        <f>HYPERLINK("http://asia.ensembl.org/Homo_sapiens/Gene/Summary?g=ENSG00000157020", "ENSG00000157020")</f>
        <v>ENSG00000157020</v>
      </c>
      <c r="M206" s="12" t="s">
        <v>20168</v>
      </c>
      <c r="N206" s="12" t="s">
        <v>20169</v>
      </c>
    </row>
    <row r="207" spans="1:14">
      <c r="A207" s="12" t="s">
        <v>3867</v>
      </c>
      <c r="B207" s="8">
        <v>8387.7014590751696</v>
      </c>
      <c r="C207" s="12">
        <v>27448.257354146401</v>
      </c>
      <c r="D207" s="8">
        <v>-1.7103671396906901</v>
      </c>
      <c r="E207" s="12">
        <v>2.6995123459869798E-3</v>
      </c>
      <c r="F207" s="8" t="s">
        <v>3868</v>
      </c>
      <c r="G207" s="12" t="s">
        <v>3869</v>
      </c>
      <c r="H207" s="12">
        <v>1</v>
      </c>
      <c r="I207" s="13" t="str">
        <f>HYPERLINK("http://www.ncbi.nlm.nih.gov/gene/4501", "4501")</f>
        <v>4501</v>
      </c>
      <c r="J207" s="13" t="str">
        <f>HYPERLINK("http://www.ncbi.nlm.nih.gov/nuccore/NM_005952", "NM_005952")</f>
        <v>NM_005952</v>
      </c>
      <c r="K207" s="12" t="s">
        <v>3870</v>
      </c>
      <c r="L207" s="13" t="str">
        <f>HYPERLINK("http://asia.ensembl.org/Homo_sapiens/Gene/Summary?g=ENSG00000187193", "ENSG00000187193")</f>
        <v>ENSG00000187193</v>
      </c>
      <c r="M207" s="12" t="s">
        <v>17452</v>
      </c>
      <c r="N207" s="12" t="s">
        <v>17453</v>
      </c>
    </row>
    <row r="208" spans="1:14">
      <c r="A208" s="12" t="s">
        <v>11087</v>
      </c>
      <c r="B208" s="8">
        <v>4992.5743317038696</v>
      </c>
      <c r="C208" s="12">
        <v>16276.339222283101</v>
      </c>
      <c r="D208" s="8">
        <v>-1.70492044123622</v>
      </c>
      <c r="E208" s="12">
        <v>2.2331134855295299E-3</v>
      </c>
      <c r="F208" s="8" t="s">
        <v>5192</v>
      </c>
      <c r="G208" s="12" t="s">
        <v>5193</v>
      </c>
      <c r="H208" s="12">
        <v>1</v>
      </c>
      <c r="I208" s="13" t="str">
        <f>HYPERLINK("http://www.ncbi.nlm.nih.gov/gene/60481", "60481")</f>
        <v>60481</v>
      </c>
      <c r="J208" s="13" t="str">
        <f>HYPERLINK("http://www.ncbi.nlm.nih.gov/nuccore/NM_001242831", "NM_001242831")</f>
        <v>NM_001242831</v>
      </c>
      <c r="K208" s="12" t="s">
        <v>11088</v>
      </c>
      <c r="L208" s="13" t="str">
        <f>HYPERLINK("http://asia.ensembl.org/Homo_sapiens/Gene/Summary?g=ENSG00000012660", "ENSG00000012660")</f>
        <v>ENSG00000012660</v>
      </c>
      <c r="M208" s="12" t="s">
        <v>19958</v>
      </c>
      <c r="N208" s="12" t="s">
        <v>19959</v>
      </c>
    </row>
    <row r="209" spans="1:14">
      <c r="A209" s="12" t="s">
        <v>7795</v>
      </c>
      <c r="B209" s="8">
        <v>7622.2015121857203</v>
      </c>
      <c r="C209" s="12">
        <v>24821.7029905368</v>
      </c>
      <c r="D209" s="8">
        <v>-1.70332244556894</v>
      </c>
      <c r="E209" s="12">
        <v>1.5079663737817999E-3</v>
      </c>
      <c r="F209" s="8" t="s">
        <v>7796</v>
      </c>
      <c r="G209" s="12" t="s">
        <v>18640</v>
      </c>
      <c r="H209" s="12">
        <v>1</v>
      </c>
      <c r="I209" s="13" t="str">
        <f>HYPERLINK("http://www.ncbi.nlm.nih.gov/gene/92815", "92815")</f>
        <v>92815</v>
      </c>
      <c r="J209" s="13" t="str">
        <f>HYPERLINK("http://www.ncbi.nlm.nih.gov/nuccore/NM_033445", "NM_033445")</f>
        <v>NM_033445</v>
      </c>
      <c r="K209" s="12" t="s">
        <v>7797</v>
      </c>
      <c r="L209" s="13" t="str">
        <f>HYPERLINK("http://asia.ensembl.org/Homo_sapiens/Gene/Summary?g=ENSG00000181218", "ENSG00000181218")</f>
        <v>ENSG00000181218</v>
      </c>
      <c r="M209" s="12" t="s">
        <v>7798</v>
      </c>
      <c r="N209" s="12" t="s">
        <v>7799</v>
      </c>
    </row>
    <row r="210" spans="1:14">
      <c r="A210" s="12" t="s">
        <v>10356</v>
      </c>
      <c r="B210" s="8">
        <v>531.64492622602802</v>
      </c>
      <c r="C210" s="12">
        <v>1731.1636159760701</v>
      </c>
      <c r="D210" s="8">
        <v>-1.70320715468261</v>
      </c>
      <c r="E210" s="12">
        <v>2.5548550584425002E-4</v>
      </c>
      <c r="F210" s="8" t="s">
        <v>5191</v>
      </c>
      <c r="G210" s="12" t="s">
        <v>19686</v>
      </c>
      <c r="H210" s="12">
        <v>1</v>
      </c>
      <c r="I210" s="13" t="str">
        <f>HYPERLINK("http://www.ncbi.nlm.nih.gov/gene/200316", "200316")</f>
        <v>200316</v>
      </c>
      <c r="J210" s="13" t="str">
        <f>HYPERLINK("http://www.ncbi.nlm.nih.gov/nuccore/NM_001006666", "NM_001006666")</f>
        <v>NM_001006666</v>
      </c>
      <c r="K210" s="12" t="s">
        <v>10357</v>
      </c>
      <c r="L210" s="13" t="str">
        <f>HYPERLINK("http://asia.ensembl.org/Homo_sapiens/Gene/Summary?g=ENSG00000128394", "ENSG00000128394")</f>
        <v>ENSG00000128394</v>
      </c>
      <c r="M210" s="12" t="s">
        <v>19687</v>
      </c>
      <c r="N210" s="12" t="s">
        <v>19688</v>
      </c>
    </row>
    <row r="211" spans="1:14">
      <c r="A211" s="12" t="s">
        <v>11548</v>
      </c>
      <c r="B211" s="8">
        <v>659.74239843649798</v>
      </c>
      <c r="C211" s="12">
        <v>2148.1705366944998</v>
      </c>
      <c r="D211" s="8">
        <v>-1.7031338010180499</v>
      </c>
      <c r="E211" s="12">
        <v>3.60565502713564E-4</v>
      </c>
      <c r="F211" s="8" t="s">
        <v>11549</v>
      </c>
      <c r="G211" s="12" t="s">
        <v>11550</v>
      </c>
      <c r="H211" s="12">
        <v>1</v>
      </c>
      <c r="I211" s="13" t="str">
        <f>HYPERLINK("http://www.ncbi.nlm.nih.gov/gene/100873985", "100873985")</f>
        <v>100873985</v>
      </c>
      <c r="J211" s="13" t="str">
        <f>HYPERLINK("http://www.ncbi.nlm.nih.gov/nuccore/NM_001289773", "NM_001289773")</f>
        <v>NM_001289773</v>
      </c>
      <c r="K211" s="12" t="s">
        <v>11551</v>
      </c>
      <c r="L211" s="12" t="s">
        <v>38</v>
      </c>
      <c r="M211" s="12" t="s">
        <v>38</v>
      </c>
      <c r="N211" s="12" t="s">
        <v>38</v>
      </c>
    </row>
    <row r="212" spans="1:14">
      <c r="A212" s="12" t="s">
        <v>8605</v>
      </c>
      <c r="B212" s="8">
        <v>806.75145005189097</v>
      </c>
      <c r="C212" s="12">
        <v>2626.2137432051099</v>
      </c>
      <c r="D212" s="8">
        <v>-1.70278816865764</v>
      </c>
      <c r="E212" s="12">
        <v>2.5564019261148899E-3</v>
      </c>
      <c r="F212" s="8" t="s">
        <v>8606</v>
      </c>
      <c r="G212" s="12" t="s">
        <v>8607</v>
      </c>
      <c r="H212" s="12">
        <v>4</v>
      </c>
      <c r="I212" s="12" t="s">
        <v>8608</v>
      </c>
      <c r="J212" s="12" t="s">
        <v>18929</v>
      </c>
      <c r="K212" s="12" t="s">
        <v>18930</v>
      </c>
      <c r="L212" s="12" t="s">
        <v>8609</v>
      </c>
      <c r="M212" s="12" t="s">
        <v>8610</v>
      </c>
      <c r="N212" s="12" t="s">
        <v>8611</v>
      </c>
    </row>
    <row r="213" spans="1:14">
      <c r="A213" s="12" t="s">
        <v>7536</v>
      </c>
      <c r="B213" s="8">
        <v>903.925288719283</v>
      </c>
      <c r="C213" s="12">
        <v>2941.1463165923601</v>
      </c>
      <c r="D213" s="8">
        <v>-1.70210311644778</v>
      </c>
      <c r="E213" s="12">
        <v>1.0737068026472E-3</v>
      </c>
      <c r="F213" s="8" t="s">
        <v>7537</v>
      </c>
      <c r="G213" s="12" t="s">
        <v>7538</v>
      </c>
      <c r="H213" s="12">
        <v>1</v>
      </c>
      <c r="I213" s="13" t="str">
        <f>HYPERLINK("http://www.ncbi.nlm.nih.gov/gene/6676", "6676")</f>
        <v>6676</v>
      </c>
      <c r="J213" s="13" t="str">
        <f>HYPERLINK("http://www.ncbi.nlm.nih.gov/nuccore/NM_003116", "NM_003116")</f>
        <v>NM_003116</v>
      </c>
      <c r="K213" s="12" t="s">
        <v>7539</v>
      </c>
      <c r="L213" s="13" t="str">
        <f>HYPERLINK("http://asia.ensembl.org/Homo_sapiens/Gene/Summary?g=ENSG00000061656", "ENSG00000061656")</f>
        <v>ENSG00000061656</v>
      </c>
      <c r="M213" s="12" t="s">
        <v>18564</v>
      </c>
      <c r="N213" s="12" t="s">
        <v>18565</v>
      </c>
    </row>
    <row r="214" spans="1:14">
      <c r="A214" s="12" t="s">
        <v>8409</v>
      </c>
      <c r="B214" s="8">
        <v>33445.373077706499</v>
      </c>
      <c r="C214" s="12">
        <v>108455.672107602</v>
      </c>
      <c r="D214" s="8">
        <v>-1.69722696278755</v>
      </c>
      <c r="E214" s="12">
        <v>3.4422689425992899E-3</v>
      </c>
      <c r="F214" s="8" t="s">
        <v>1854</v>
      </c>
      <c r="G214" s="12" t="s">
        <v>1855</v>
      </c>
      <c r="H214" s="12">
        <v>1</v>
      </c>
      <c r="I214" s="13" t="str">
        <f>HYPERLINK("http://www.ncbi.nlm.nih.gov/gene/84300", "84300")</f>
        <v>84300</v>
      </c>
      <c r="J214" s="13" t="str">
        <f>HYPERLINK("http://www.ncbi.nlm.nih.gov/nuccore/NM_032340", "NM_032340")</f>
        <v>NM_032340</v>
      </c>
      <c r="K214" s="12" t="s">
        <v>1856</v>
      </c>
      <c r="L214" s="13" t="str">
        <f>HYPERLINK("http://asia.ensembl.org/Homo_sapiens/Gene/Summary?g=ENSG00000137288", "ENSG00000137288")</f>
        <v>ENSG00000137288</v>
      </c>
      <c r="M214" s="12" t="s">
        <v>16807</v>
      </c>
      <c r="N214" s="12" t="s">
        <v>16808</v>
      </c>
    </row>
    <row r="215" spans="1:14">
      <c r="A215" s="12" t="s">
        <v>8466</v>
      </c>
      <c r="B215" s="8">
        <v>9733.2223381623498</v>
      </c>
      <c r="C215" s="12">
        <v>31518.517954489202</v>
      </c>
      <c r="D215" s="8">
        <v>-1.69521028246411</v>
      </c>
      <c r="E215" s="12">
        <v>1.0700231699723899E-3</v>
      </c>
      <c r="F215" s="8" t="s">
        <v>2545</v>
      </c>
      <c r="G215" s="12" t="s">
        <v>286</v>
      </c>
      <c r="H215" s="12">
        <v>1</v>
      </c>
      <c r="I215" s="13" t="str">
        <f>HYPERLINK("http://www.ncbi.nlm.nih.gov/gene/4695", "4695")</f>
        <v>4695</v>
      </c>
      <c r="J215" s="12" t="s">
        <v>17029</v>
      </c>
      <c r="K215" s="12" t="s">
        <v>17030</v>
      </c>
      <c r="L215" s="13" t="str">
        <f>HYPERLINK("http://asia.ensembl.org/Homo_sapiens/Gene/Summary?g=ENSG00000131495", "ENSG00000131495")</f>
        <v>ENSG00000131495</v>
      </c>
      <c r="M215" s="12" t="s">
        <v>17031</v>
      </c>
      <c r="N215" s="12" t="s">
        <v>17032</v>
      </c>
    </row>
    <row r="216" spans="1:14">
      <c r="A216" s="12" t="s">
        <v>10581</v>
      </c>
      <c r="B216" s="8">
        <v>146.918048333581</v>
      </c>
      <c r="C216" s="12">
        <v>475.689346988181</v>
      </c>
      <c r="D216" s="8">
        <v>-1.6950080801825</v>
      </c>
      <c r="E216" s="12">
        <v>2.8293000856484098E-4</v>
      </c>
      <c r="F216" s="8" t="s">
        <v>6610</v>
      </c>
      <c r="G216" s="12" t="s">
        <v>1309</v>
      </c>
      <c r="H216" s="12">
        <v>1</v>
      </c>
      <c r="I216" s="13" t="str">
        <f>HYPERLINK("http://www.ncbi.nlm.nih.gov/gene/6556", "6556")</f>
        <v>6556</v>
      </c>
      <c r="J216" s="13" t="str">
        <f>HYPERLINK("http://www.ncbi.nlm.nih.gov/nuccore/NM_000578", "NM_000578")</f>
        <v>NM_000578</v>
      </c>
      <c r="K216" s="12" t="s">
        <v>6611</v>
      </c>
      <c r="L216" s="13" t="str">
        <f>HYPERLINK("http://asia.ensembl.org/Homo_sapiens/Gene/Summary?g=ENSG00000018280", "ENSG00000018280")</f>
        <v>ENSG00000018280</v>
      </c>
      <c r="M216" s="12" t="s">
        <v>19783</v>
      </c>
      <c r="N216" s="12" t="s">
        <v>19784</v>
      </c>
    </row>
    <row r="217" spans="1:14">
      <c r="A217" s="12" t="s">
        <v>9516</v>
      </c>
      <c r="B217" s="8">
        <v>46832.680103193597</v>
      </c>
      <c r="C217" s="12">
        <v>151219.28882866999</v>
      </c>
      <c r="D217" s="8">
        <v>-1.69105466785027</v>
      </c>
      <c r="E217" s="12">
        <v>8.2750592507518103E-4</v>
      </c>
      <c r="F217" s="8" t="s">
        <v>9517</v>
      </c>
      <c r="G217" s="12" t="s">
        <v>9518</v>
      </c>
      <c r="H217" s="12">
        <v>1</v>
      </c>
      <c r="I217" s="13" t="str">
        <f>HYPERLINK("http://www.ncbi.nlm.nih.gov/gene/140823", "140823")</f>
        <v>140823</v>
      </c>
      <c r="J217" s="13" t="str">
        <f>HYPERLINK("http://www.ncbi.nlm.nih.gov/nuccore/NM_080748", "NM_080748")</f>
        <v>NM_080748</v>
      </c>
      <c r="K217" s="12" t="s">
        <v>9519</v>
      </c>
      <c r="L217" s="13" t="str">
        <f>HYPERLINK("http://asia.ensembl.org/Homo_sapiens/Gene/Summary?g=ENSG00000125995", "ENSG00000125995")</f>
        <v>ENSG00000125995</v>
      </c>
      <c r="M217" s="12" t="s">
        <v>19180</v>
      </c>
      <c r="N217" s="12" t="s">
        <v>19181</v>
      </c>
    </row>
    <row r="218" spans="1:14">
      <c r="A218" s="12" t="s">
        <v>6920</v>
      </c>
      <c r="B218" s="8">
        <v>28268.326409595898</v>
      </c>
      <c r="C218" s="12">
        <v>91153.967322940807</v>
      </c>
      <c r="D218" s="8">
        <v>-1.68911897573563</v>
      </c>
      <c r="E218" s="12">
        <v>4.3974550306194902E-3</v>
      </c>
      <c r="F218" s="8" t="s">
        <v>6921</v>
      </c>
      <c r="G218" s="12" t="s">
        <v>6922</v>
      </c>
      <c r="H218" s="12">
        <v>1</v>
      </c>
      <c r="I218" s="13" t="str">
        <f>HYPERLINK("http://www.ncbi.nlm.nih.gov/gene/6167", "6167")</f>
        <v>6167</v>
      </c>
      <c r="J218" s="13" t="str">
        <f>HYPERLINK("http://www.ncbi.nlm.nih.gov/nuccore/NM_000997", "NM_000997")</f>
        <v>NM_000997</v>
      </c>
      <c r="K218" s="12" t="s">
        <v>6923</v>
      </c>
      <c r="L218" s="13" t="str">
        <f>HYPERLINK("http://asia.ensembl.org/Homo_sapiens/Gene/Summary?g=ENSG00000145592", "ENSG00000145592")</f>
        <v>ENSG00000145592</v>
      </c>
      <c r="M218" s="12" t="s">
        <v>18306</v>
      </c>
      <c r="N218" s="12" t="s">
        <v>18307</v>
      </c>
    </row>
    <row r="219" spans="1:14">
      <c r="A219" s="12" t="s">
        <v>11205</v>
      </c>
      <c r="B219" s="8">
        <v>462.57521602345298</v>
      </c>
      <c r="C219" s="12">
        <v>1490.942908062</v>
      </c>
      <c r="D219" s="8">
        <v>-1.6884651382095499</v>
      </c>
      <c r="E219" s="12">
        <v>7.7813877758233603E-4</v>
      </c>
      <c r="F219" s="8" t="s">
        <v>10154</v>
      </c>
      <c r="G219" s="12" t="s">
        <v>10155</v>
      </c>
      <c r="H219" s="12">
        <v>1</v>
      </c>
      <c r="I219" s="13" t="str">
        <f>HYPERLINK("http://www.ncbi.nlm.nih.gov/gene/171425", "171425")</f>
        <v>171425</v>
      </c>
      <c r="J219" s="13" t="str">
        <f>HYPERLINK("http://www.ncbi.nlm.nih.gov/nuccore/NM_206808", "NM_206808")</f>
        <v>NM_206808</v>
      </c>
      <c r="K219" s="12" t="s">
        <v>10156</v>
      </c>
      <c r="L219" s="13" t="str">
        <f>HYPERLINK("http://asia.ensembl.org/Homo_sapiens/Gene/Summary?g=ENSG00000125246", "ENSG00000125246")</f>
        <v>ENSG00000125246</v>
      </c>
      <c r="M219" s="12" t="s">
        <v>20007</v>
      </c>
      <c r="N219" s="12" t="s">
        <v>20008</v>
      </c>
    </row>
    <row r="220" spans="1:14">
      <c r="A220" s="12" t="s">
        <v>10346</v>
      </c>
      <c r="B220" s="8">
        <v>36235.404415541598</v>
      </c>
      <c r="C220" s="12">
        <v>116736.881074137</v>
      </c>
      <c r="D220" s="8">
        <v>-1.68778852740741</v>
      </c>
      <c r="E220" s="12">
        <v>4.9689362395670799E-3</v>
      </c>
      <c r="F220" s="8" t="s">
        <v>5076</v>
      </c>
      <c r="G220" s="12" t="s">
        <v>5077</v>
      </c>
      <c r="H220" s="12">
        <v>1</v>
      </c>
      <c r="I220" s="13" t="str">
        <f>HYPERLINK("http://www.ncbi.nlm.nih.gov/gene/150678", "150678")</f>
        <v>150678</v>
      </c>
      <c r="J220" s="13" t="str">
        <f>HYPERLINK("http://www.ncbi.nlm.nih.gov/nuccore/NM_001163424", "NM_001163424")</f>
        <v>NM_001163424</v>
      </c>
      <c r="K220" s="12" t="s">
        <v>10347</v>
      </c>
      <c r="L220" s="13" t="str">
        <f>HYPERLINK("http://asia.ensembl.org/Homo_sapiens/Gene/Summary?g=ENSG00000172428", "ENSG00000172428")</f>
        <v>ENSG00000172428</v>
      </c>
      <c r="M220" s="12" t="s">
        <v>19681</v>
      </c>
      <c r="N220" s="12" t="s">
        <v>19682</v>
      </c>
    </row>
    <row r="221" spans="1:14">
      <c r="A221" s="12" t="s">
        <v>5689</v>
      </c>
      <c r="B221" s="8">
        <v>2375.5300028664901</v>
      </c>
      <c r="C221" s="12">
        <v>7648.2764428543296</v>
      </c>
      <c r="D221" s="8">
        <v>-1.68688524164522</v>
      </c>
      <c r="E221" s="12">
        <v>1.8445197107692199E-3</v>
      </c>
      <c r="F221" s="8" t="s">
        <v>5690</v>
      </c>
      <c r="G221" s="12" t="s">
        <v>5691</v>
      </c>
      <c r="H221" s="12">
        <v>1</v>
      </c>
      <c r="I221" s="13" t="str">
        <f>HYPERLINK("http://www.ncbi.nlm.nih.gov/gene/5681", "5681")</f>
        <v>5681</v>
      </c>
      <c r="J221" s="13" t="str">
        <f>HYPERLINK("http://www.ncbi.nlm.nih.gov/nuccore/NM_006742", "NM_006742")</f>
        <v>NM_006742</v>
      </c>
      <c r="K221" s="12" t="s">
        <v>5692</v>
      </c>
      <c r="L221" s="13" t="str">
        <f>HYPERLINK("http://asia.ensembl.org/Homo_sapiens/Gene/Summary?g=ENSG00000159792", "ENSG00000159792")</f>
        <v>ENSG00000159792</v>
      </c>
      <c r="M221" s="12" t="s">
        <v>17937</v>
      </c>
      <c r="N221" s="12" t="s">
        <v>17938</v>
      </c>
    </row>
    <row r="222" spans="1:14">
      <c r="A222" s="12" t="s">
        <v>7037</v>
      </c>
      <c r="B222" s="8">
        <v>522.85700775828604</v>
      </c>
      <c r="C222" s="12">
        <v>1680.7694811198301</v>
      </c>
      <c r="D222" s="8">
        <v>-1.6846335176818099</v>
      </c>
      <c r="E222" s="12">
        <v>1.6385237073763401E-4</v>
      </c>
      <c r="F222" s="8" t="s">
        <v>7038</v>
      </c>
      <c r="G222" s="12" t="s">
        <v>18345</v>
      </c>
      <c r="H222" s="12">
        <v>1</v>
      </c>
      <c r="I222" s="13" t="str">
        <f>HYPERLINK("http://www.ncbi.nlm.nih.gov/gene/8355", "8355")</f>
        <v>8355</v>
      </c>
      <c r="J222" s="13" t="str">
        <f>HYPERLINK("http://www.ncbi.nlm.nih.gov/nuccore/NM_003534", "NM_003534")</f>
        <v>NM_003534</v>
      </c>
      <c r="K222" s="12" t="s">
        <v>7039</v>
      </c>
      <c r="L222" s="13" t="str">
        <f>HYPERLINK("http://asia.ensembl.org/Homo_sapiens/Gene/Summary?g=ENSG00000273983", "ENSG00000273983")</f>
        <v>ENSG00000273983</v>
      </c>
      <c r="M222" s="12" t="s">
        <v>7040</v>
      </c>
      <c r="N222" s="12" t="s">
        <v>7041</v>
      </c>
    </row>
    <row r="223" spans="1:14">
      <c r="A223" s="12" t="s">
        <v>1269</v>
      </c>
      <c r="B223" s="8">
        <v>325.695532275684</v>
      </c>
      <c r="C223" s="12">
        <v>1046.93646612098</v>
      </c>
      <c r="D223" s="8">
        <v>-1.6845780594016999</v>
      </c>
      <c r="E223" s="12">
        <v>1.48110432370814E-3</v>
      </c>
      <c r="F223" s="8" t="s">
        <v>1270</v>
      </c>
      <c r="G223" s="12" t="s">
        <v>1271</v>
      </c>
      <c r="H223" s="12">
        <v>1</v>
      </c>
      <c r="I223" s="13" t="str">
        <f>HYPERLINK("http://www.ncbi.nlm.nih.gov/gene/6495", "6495")</f>
        <v>6495</v>
      </c>
      <c r="J223" s="13" t="str">
        <f>HYPERLINK("http://www.ncbi.nlm.nih.gov/nuccore/NM_005982", "NM_005982")</f>
        <v>NM_005982</v>
      </c>
      <c r="K223" s="12" t="s">
        <v>1272</v>
      </c>
      <c r="L223" s="13" t="str">
        <f>HYPERLINK("http://asia.ensembl.org/Homo_sapiens/Gene/Summary?g=ENSG00000126778", "ENSG00000126778")</f>
        <v>ENSG00000126778</v>
      </c>
      <c r="M223" s="12" t="s">
        <v>16562</v>
      </c>
      <c r="N223" s="12" t="s">
        <v>16563</v>
      </c>
    </row>
    <row r="224" spans="1:14">
      <c r="A224" s="12" t="s">
        <v>6136</v>
      </c>
      <c r="B224" s="8">
        <v>1093.61975188717</v>
      </c>
      <c r="C224" s="12">
        <v>3512.3886628373002</v>
      </c>
      <c r="D224" s="8">
        <v>-1.6833412900739</v>
      </c>
      <c r="E224" s="12">
        <v>2.0217715575358299E-3</v>
      </c>
      <c r="F224" s="8" t="s">
        <v>6137</v>
      </c>
      <c r="G224" s="12" t="s">
        <v>6138</v>
      </c>
      <c r="H224" s="12">
        <v>1</v>
      </c>
      <c r="I224" s="13" t="str">
        <f>HYPERLINK("http://www.ncbi.nlm.nih.gov/gene/55897", "55897")</f>
        <v>55897</v>
      </c>
      <c r="J224" s="13" t="str">
        <f>HYPERLINK("http://www.ncbi.nlm.nih.gov/nuccore/NM_018670", "NM_018670")</f>
        <v>NM_018670</v>
      </c>
      <c r="K224" s="12" t="s">
        <v>6139</v>
      </c>
      <c r="L224" s="13" t="str">
        <f>HYPERLINK("http://asia.ensembl.org/Homo_sapiens/Gene/Summary?g=ENSG00000166823", "ENSG00000166823")</f>
        <v>ENSG00000166823</v>
      </c>
      <c r="M224" s="12" t="s">
        <v>18064</v>
      </c>
      <c r="N224" s="12" t="s">
        <v>6140</v>
      </c>
    </row>
    <row r="225" spans="1:14">
      <c r="A225" s="12" t="s">
        <v>9101</v>
      </c>
      <c r="B225" s="8">
        <v>495.55973002604497</v>
      </c>
      <c r="C225" s="12">
        <v>1590.14772777811</v>
      </c>
      <c r="D225" s="8">
        <v>-1.6820299392215601</v>
      </c>
      <c r="E225" s="12">
        <v>8.7328780997766291E-3</v>
      </c>
      <c r="F225" s="8" t="s">
        <v>9102</v>
      </c>
      <c r="G225" s="12" t="s">
        <v>19062</v>
      </c>
      <c r="H225" s="12">
        <v>1</v>
      </c>
      <c r="I225" s="13" t="str">
        <f>HYPERLINK("http://www.ncbi.nlm.nih.gov/gene/8365", "8365")</f>
        <v>8365</v>
      </c>
      <c r="J225" s="13" t="str">
        <f>HYPERLINK("http://www.ncbi.nlm.nih.gov/nuccore/NM_003543", "NM_003543")</f>
        <v>NM_003543</v>
      </c>
      <c r="K225" s="12" t="s">
        <v>9103</v>
      </c>
      <c r="L225" s="13" t="str">
        <f>HYPERLINK("http://asia.ensembl.org/Homo_sapiens/Gene/Summary?g=ENSG00000158406", "ENSG00000158406")</f>
        <v>ENSG00000158406</v>
      </c>
      <c r="M225" s="12" t="s">
        <v>9104</v>
      </c>
      <c r="N225" s="12" t="s">
        <v>9105</v>
      </c>
    </row>
    <row r="226" spans="1:14">
      <c r="A226" s="12" t="s">
        <v>3943</v>
      </c>
      <c r="B226" s="8">
        <v>1060.3080020570201</v>
      </c>
      <c r="C226" s="12">
        <v>3397.3119023989402</v>
      </c>
      <c r="D226" s="8">
        <v>-1.6799102712096099</v>
      </c>
      <c r="E226" s="12">
        <v>3.2529599736948402E-3</v>
      </c>
      <c r="F226" s="8" t="s">
        <v>3944</v>
      </c>
      <c r="G226" s="12" t="s">
        <v>3945</v>
      </c>
      <c r="H226" s="12">
        <v>1</v>
      </c>
      <c r="I226" s="13" t="str">
        <f>HYPERLINK("http://www.ncbi.nlm.nih.gov/gene/79090", "79090")</f>
        <v>79090</v>
      </c>
      <c r="J226" s="12" t="s">
        <v>17490</v>
      </c>
      <c r="K226" s="12" t="s">
        <v>17491</v>
      </c>
      <c r="L226" s="13" t="str">
        <f>HYPERLINK("http://asia.ensembl.org/Homo_sapiens/Gene/Summary?g=ENSG00000007255", "ENSG00000007255")</f>
        <v>ENSG00000007255</v>
      </c>
      <c r="M226" s="12" t="s">
        <v>17492</v>
      </c>
      <c r="N226" s="12" t="s">
        <v>17493</v>
      </c>
    </row>
    <row r="227" spans="1:14">
      <c r="A227" s="12" t="s">
        <v>9352</v>
      </c>
      <c r="B227" s="8">
        <v>272.47068052031699</v>
      </c>
      <c r="C227" s="12">
        <v>870.50612487656804</v>
      </c>
      <c r="D227" s="8">
        <v>-1.6757534531060501</v>
      </c>
      <c r="E227" s="12">
        <v>1.09448487648137E-2</v>
      </c>
      <c r="F227" s="8" t="s">
        <v>9353</v>
      </c>
      <c r="G227" s="12" t="s">
        <v>9354</v>
      </c>
      <c r="H227" s="12">
        <v>1</v>
      </c>
      <c r="I227" s="13" t="str">
        <f>HYPERLINK("http://www.ncbi.nlm.nih.gov/gene/55911", "55911")</f>
        <v>55911</v>
      </c>
      <c r="J227" s="13" t="str">
        <f>HYPERLINK("http://www.ncbi.nlm.nih.gov/nuccore/NM_018690", "NM_018690")</f>
        <v>NM_018690</v>
      </c>
      <c r="K227" s="12" t="s">
        <v>9355</v>
      </c>
      <c r="L227" s="13" t="str">
        <f>HYPERLINK("http://asia.ensembl.org/Homo_sapiens/Gene/Summary?g=ENSG00000184730", "ENSG00000184730")</f>
        <v>ENSG00000184730</v>
      </c>
      <c r="M227" s="12" t="s">
        <v>19134</v>
      </c>
      <c r="N227" s="12" t="s">
        <v>19135</v>
      </c>
    </row>
    <row r="228" spans="1:14">
      <c r="A228" s="12" t="s">
        <v>8987</v>
      </c>
      <c r="B228" s="8">
        <v>763.38066883792601</v>
      </c>
      <c r="C228" s="12">
        <v>2437.98302708752</v>
      </c>
      <c r="D228" s="8">
        <v>-1.6752135235193</v>
      </c>
      <c r="E228" s="12">
        <v>3.2584431312145199E-3</v>
      </c>
      <c r="F228" s="8" t="s">
        <v>8988</v>
      </c>
      <c r="G228" s="12" t="s">
        <v>8989</v>
      </c>
      <c r="H228" s="12">
        <v>1</v>
      </c>
      <c r="I228" s="13" t="str">
        <f>HYPERLINK("http://www.ncbi.nlm.nih.gov/gene/388567", "388567")</f>
        <v>388567</v>
      </c>
      <c r="J228" s="13" t="str">
        <f>HYPERLINK("http://www.ncbi.nlm.nih.gov/nuccore/NM_001023561", "NM_001023561")</f>
        <v>NM_001023561</v>
      </c>
      <c r="K228" s="12" t="s">
        <v>8990</v>
      </c>
      <c r="L228" s="13" t="str">
        <f>HYPERLINK("http://asia.ensembl.org/Homo_sapiens/Gene/Summary?g=ENSG00000186230", "ENSG00000186230")</f>
        <v>ENSG00000186230</v>
      </c>
      <c r="M228" s="12" t="s">
        <v>19038</v>
      </c>
      <c r="N228" s="12" t="s">
        <v>19039</v>
      </c>
    </row>
    <row r="229" spans="1:14">
      <c r="A229" s="12" t="s">
        <v>10125</v>
      </c>
      <c r="B229" s="8">
        <v>9251.9452753982005</v>
      </c>
      <c r="C229" s="12">
        <v>29459.441907532098</v>
      </c>
      <c r="D229" s="8">
        <v>-1.67090146191806</v>
      </c>
      <c r="E229" s="12">
        <v>3.46311926102979E-4</v>
      </c>
      <c r="F229" s="8" t="s">
        <v>7220</v>
      </c>
      <c r="G229" s="12" t="s">
        <v>7221</v>
      </c>
      <c r="H229" s="12">
        <v>1</v>
      </c>
      <c r="I229" s="13" t="str">
        <f>HYPERLINK("http://www.ncbi.nlm.nih.gov/gene/25953", "25953")</f>
        <v>25953</v>
      </c>
      <c r="J229" s="13" t="str">
        <f>HYPERLINK("http://www.ncbi.nlm.nih.gov/nuccore/NM_001077399", "NM_001077399")</f>
        <v>NM_001077399</v>
      </c>
      <c r="K229" s="12" t="s">
        <v>10126</v>
      </c>
      <c r="L229" s="13" t="str">
        <f>HYPERLINK("http://asia.ensembl.org/Homo_sapiens/Gene/Summary?g=ENSG00000127838", "ENSG00000127838")</f>
        <v>ENSG00000127838</v>
      </c>
      <c r="M229" s="12" t="s">
        <v>18430</v>
      </c>
      <c r="N229" s="12" t="s">
        <v>18431</v>
      </c>
    </row>
    <row r="230" spans="1:14">
      <c r="A230" s="12" t="s">
        <v>10512</v>
      </c>
      <c r="B230" s="8">
        <v>173.704540365664</v>
      </c>
      <c r="C230" s="12">
        <v>552.41063777834802</v>
      </c>
      <c r="D230" s="8">
        <v>-1.66910563752079</v>
      </c>
      <c r="E230" s="12">
        <v>2.0239691423551902E-3</v>
      </c>
      <c r="F230" s="8" t="s">
        <v>5280</v>
      </c>
      <c r="G230" s="12" t="s">
        <v>5281</v>
      </c>
      <c r="H230" s="12">
        <v>1</v>
      </c>
      <c r="I230" s="13" t="str">
        <f>HYPERLINK("http://www.ncbi.nlm.nih.gov/gene/4208", "4208")</f>
        <v>4208</v>
      </c>
      <c r="J230" s="12" t="s">
        <v>17839</v>
      </c>
      <c r="K230" s="12" t="s">
        <v>17840</v>
      </c>
      <c r="L230" s="13" t="str">
        <f>HYPERLINK("http://asia.ensembl.org/Homo_sapiens/Gene/Summary?g=ENSG00000081189", "ENSG00000081189")</f>
        <v>ENSG00000081189</v>
      </c>
      <c r="M230" s="12" t="s">
        <v>17841</v>
      </c>
      <c r="N230" s="12" t="s">
        <v>17842</v>
      </c>
    </row>
    <row r="231" spans="1:14">
      <c r="A231" s="12" t="s">
        <v>2476</v>
      </c>
      <c r="B231" s="8">
        <v>523.98395989752396</v>
      </c>
      <c r="C231" s="12">
        <v>1663.56043096131</v>
      </c>
      <c r="D231" s="8">
        <v>-1.66667972088517</v>
      </c>
      <c r="E231" s="12">
        <v>2.45106878911063E-3</v>
      </c>
      <c r="F231" s="8" t="s">
        <v>2477</v>
      </c>
      <c r="G231" s="12" t="s">
        <v>2478</v>
      </c>
      <c r="H231" s="12">
        <v>1</v>
      </c>
      <c r="I231" s="13" t="str">
        <f>HYPERLINK("http://www.ncbi.nlm.nih.gov/gene/26145", "26145")</f>
        <v>26145</v>
      </c>
      <c r="J231" s="13" t="str">
        <f>HYPERLINK("http://www.ncbi.nlm.nih.gov/nuccore/NM_015649", "NM_015649")</f>
        <v>NM_015649</v>
      </c>
      <c r="K231" s="12" t="s">
        <v>2479</v>
      </c>
      <c r="L231" s="13" t="str">
        <f>HYPERLINK("http://asia.ensembl.org/Homo_sapiens/Gene/Summary?g=ENSG00000170604", "ENSG00000170604")</f>
        <v>ENSG00000170604</v>
      </c>
      <c r="M231" s="12" t="s">
        <v>2480</v>
      </c>
      <c r="N231" s="12" t="s">
        <v>2481</v>
      </c>
    </row>
    <row r="232" spans="1:14">
      <c r="A232" s="12" t="s">
        <v>2704</v>
      </c>
      <c r="B232" s="8">
        <v>7445.4352844793202</v>
      </c>
      <c r="C232" s="12">
        <v>23635.562939752199</v>
      </c>
      <c r="D232" s="8">
        <v>-1.6665311254259101</v>
      </c>
      <c r="E232" s="12">
        <v>2.3452895296646602E-3</v>
      </c>
      <c r="F232" s="8" t="s">
        <v>2705</v>
      </c>
      <c r="G232" s="12" t="s">
        <v>248</v>
      </c>
      <c r="H232" s="12">
        <v>1</v>
      </c>
      <c r="I232" s="13" t="str">
        <f>HYPERLINK("http://www.ncbi.nlm.nih.gov/gene/351", "351")</f>
        <v>351</v>
      </c>
      <c r="J232" s="12" t="s">
        <v>17089</v>
      </c>
      <c r="K232" s="12" t="s">
        <v>17090</v>
      </c>
      <c r="L232" s="13" t="str">
        <f>HYPERLINK("http://asia.ensembl.org/Homo_sapiens/Gene/Summary?g=ENSG00000142192", "ENSG00000142192")</f>
        <v>ENSG00000142192</v>
      </c>
      <c r="M232" s="12" t="s">
        <v>17091</v>
      </c>
      <c r="N232" s="12" t="s">
        <v>17092</v>
      </c>
    </row>
    <row r="233" spans="1:14">
      <c r="A233" s="12" t="s">
        <v>10099</v>
      </c>
      <c r="B233" s="8">
        <v>3784.2336604419902</v>
      </c>
      <c r="C233" s="12">
        <v>12005.124719429001</v>
      </c>
      <c r="D233" s="8">
        <v>-1.66557731472293</v>
      </c>
      <c r="E233" s="12">
        <v>1.5813599312762901E-3</v>
      </c>
      <c r="F233" s="8" t="s">
        <v>7218</v>
      </c>
      <c r="G233" s="12" t="s">
        <v>19538</v>
      </c>
      <c r="H233" s="12">
        <v>1</v>
      </c>
      <c r="I233" s="13" t="str">
        <f>HYPERLINK("http://www.ncbi.nlm.nih.gov/gene/55323", "55323")</f>
        <v>55323</v>
      </c>
      <c r="J233" s="13" t="str">
        <f>HYPERLINK("http://www.ncbi.nlm.nih.gov/nuccore/NM_197958", "NM_197958")</f>
        <v>NM_197958</v>
      </c>
      <c r="K233" s="12" t="s">
        <v>10100</v>
      </c>
      <c r="L233" s="13" t="str">
        <f>HYPERLINK("http://asia.ensembl.org/Homo_sapiens/Gene/Summary?g=ENSG00000166173", "ENSG00000166173")</f>
        <v>ENSG00000166173</v>
      </c>
      <c r="M233" s="12" t="s">
        <v>19539</v>
      </c>
      <c r="N233" s="12" t="s">
        <v>19540</v>
      </c>
    </row>
    <row r="234" spans="1:14">
      <c r="A234" s="12" t="s">
        <v>5201</v>
      </c>
      <c r="B234" s="8">
        <v>81.377702585159597</v>
      </c>
      <c r="C234" s="12">
        <v>257.65991037525998</v>
      </c>
      <c r="D234" s="8">
        <v>-1.6627626272993501</v>
      </c>
      <c r="E234" s="12">
        <v>3.5162269663521102E-2</v>
      </c>
      <c r="F234" s="8" t="s">
        <v>5202</v>
      </c>
      <c r="G234" s="12" t="s">
        <v>5203</v>
      </c>
      <c r="H234" s="12">
        <v>1</v>
      </c>
      <c r="I234" s="13" t="str">
        <f>HYPERLINK("http://www.ncbi.nlm.nih.gov/gene/23732", "23732")</f>
        <v>23732</v>
      </c>
      <c r="J234" s="13" t="str">
        <f>HYPERLINK("http://www.ncbi.nlm.nih.gov/nuccore/NM_014334", "NM_014334")</f>
        <v>NM_014334</v>
      </c>
      <c r="K234" s="12" t="s">
        <v>5204</v>
      </c>
      <c r="L234" s="13" t="str">
        <f>HYPERLINK("http://asia.ensembl.org/Homo_sapiens/Gene/Summary?g=ENSG00000260230", "ENSG00000260230")</f>
        <v>ENSG00000260230</v>
      </c>
      <c r="M234" s="12" t="s">
        <v>5205</v>
      </c>
      <c r="N234" s="12" t="s">
        <v>5206</v>
      </c>
    </row>
    <row r="235" spans="1:14">
      <c r="A235" s="12" t="s">
        <v>2319</v>
      </c>
      <c r="B235" s="8">
        <v>9513.51740827297</v>
      </c>
      <c r="C235" s="12">
        <v>30104.098822760501</v>
      </c>
      <c r="D235" s="8">
        <v>-1.6619091817137599</v>
      </c>
      <c r="E235" s="12">
        <v>1.21184697943957E-3</v>
      </c>
      <c r="F235" s="8" t="s">
        <v>2320</v>
      </c>
      <c r="G235" s="12" t="s">
        <v>2321</v>
      </c>
      <c r="H235" s="12">
        <v>1</v>
      </c>
      <c r="I235" s="13" t="str">
        <f>HYPERLINK("http://www.ncbi.nlm.nih.gov/gene/441150", "441150")</f>
        <v>441150</v>
      </c>
      <c r="J235" s="13" t="str">
        <f>HYPERLINK("http://www.ncbi.nlm.nih.gov/nuccore/NM_001008739", "NM_001008739")</f>
        <v>NM_001008739</v>
      </c>
      <c r="K235" s="12" t="s">
        <v>2322</v>
      </c>
      <c r="L235" s="13" t="str">
        <f>HYPERLINK("http://asia.ensembl.org/Homo_sapiens/Gene/Summary?g=ENSG00000221821", "ENSG00000221821")</f>
        <v>ENSG00000221821</v>
      </c>
      <c r="M235" s="12" t="s">
        <v>2323</v>
      </c>
      <c r="N235" s="12" t="s">
        <v>2324</v>
      </c>
    </row>
    <row r="236" spans="1:14">
      <c r="A236" s="12" t="s">
        <v>10900</v>
      </c>
      <c r="B236" s="8">
        <v>1259.7008921434799</v>
      </c>
      <c r="C236" s="12">
        <v>3981.3253834132202</v>
      </c>
      <c r="D236" s="8">
        <v>-1.66016756822683</v>
      </c>
      <c r="E236" s="12">
        <v>9.5083228105176604E-6</v>
      </c>
      <c r="F236" s="8" t="s">
        <v>10901</v>
      </c>
      <c r="G236" s="12" t="s">
        <v>19895</v>
      </c>
      <c r="H236" s="12">
        <v>4</v>
      </c>
      <c r="I236" s="12" t="s">
        <v>10902</v>
      </c>
      <c r="J236" s="12" t="s">
        <v>10903</v>
      </c>
      <c r="K236" s="12" t="s">
        <v>10904</v>
      </c>
      <c r="L236" s="12" t="s">
        <v>10905</v>
      </c>
      <c r="M236" s="12" t="s">
        <v>19896</v>
      </c>
      <c r="N236" s="12" t="s">
        <v>19897</v>
      </c>
    </row>
    <row r="237" spans="1:14">
      <c r="A237" s="12" t="s">
        <v>7746</v>
      </c>
      <c r="B237" s="8">
        <v>607.16464884734296</v>
      </c>
      <c r="C237" s="12">
        <v>1918.3460660210901</v>
      </c>
      <c r="D237" s="8">
        <v>-1.6597033035150299</v>
      </c>
      <c r="E237" s="12">
        <v>4.2552415991677604E-3</v>
      </c>
      <c r="F237" s="8" t="s">
        <v>7747</v>
      </c>
      <c r="G237" s="12" t="s">
        <v>18631</v>
      </c>
      <c r="H237" s="12">
        <v>1</v>
      </c>
      <c r="I237" s="13" t="str">
        <f>HYPERLINK("http://www.ncbi.nlm.nih.gov/gene/6038", "6038")</f>
        <v>6038</v>
      </c>
      <c r="J237" s="12" t="s">
        <v>18632</v>
      </c>
      <c r="K237" s="12" t="s">
        <v>18633</v>
      </c>
      <c r="L237" s="13" t="str">
        <f>HYPERLINK("http://asia.ensembl.org/Homo_sapiens/Gene/Summary?g=ENSG00000258818", "ENSG00000258818")</f>
        <v>ENSG00000258818</v>
      </c>
      <c r="M237" s="12" t="s">
        <v>18634</v>
      </c>
      <c r="N237" s="12" t="s">
        <v>18635</v>
      </c>
    </row>
    <row r="238" spans="1:14">
      <c r="A238" s="12" t="s">
        <v>11091</v>
      </c>
      <c r="B238" s="8">
        <v>712.59993832482496</v>
      </c>
      <c r="C238" s="12">
        <v>2251.2277854822801</v>
      </c>
      <c r="D238" s="8">
        <v>-1.65954777635109</v>
      </c>
      <c r="E238" s="12">
        <v>3.3630479375525301E-3</v>
      </c>
      <c r="F238" s="8" t="s">
        <v>9744</v>
      </c>
      <c r="G238" s="12" t="s">
        <v>9745</v>
      </c>
      <c r="H238" s="12">
        <v>1</v>
      </c>
      <c r="I238" s="13" t="str">
        <f>HYPERLINK("http://www.ncbi.nlm.nih.gov/gene/125488", "125488")</f>
        <v>125488</v>
      </c>
      <c r="J238" s="13" t="str">
        <f>HYPERLINK("http://www.ncbi.nlm.nih.gov/nuccore/NM_001243425", "NM_001243425")</f>
        <v>NM_001243425</v>
      </c>
      <c r="K238" s="12" t="s">
        <v>11092</v>
      </c>
      <c r="L238" s="13" t="str">
        <f>HYPERLINK("http://asia.ensembl.org/Homo_sapiens/Gene/Summary?g=ENSG00000168234", "ENSG00000168234")</f>
        <v>ENSG00000168234</v>
      </c>
      <c r="M238" s="12" t="s">
        <v>19960</v>
      </c>
      <c r="N238" s="12" t="s">
        <v>19961</v>
      </c>
    </row>
    <row r="239" spans="1:14">
      <c r="A239" s="12" t="s">
        <v>9759</v>
      </c>
      <c r="B239" s="8">
        <v>24605.7750081452</v>
      </c>
      <c r="C239" s="12">
        <v>77724.195966721498</v>
      </c>
      <c r="D239" s="8">
        <v>-1.6593668296477599</v>
      </c>
      <c r="E239" s="12">
        <v>5.6997752249834301E-3</v>
      </c>
      <c r="F239" s="8" t="s">
        <v>9760</v>
      </c>
      <c r="G239" s="12" t="s">
        <v>9761</v>
      </c>
      <c r="H239" s="12">
        <v>1</v>
      </c>
      <c r="I239" s="13" t="str">
        <f>HYPERLINK("http://www.ncbi.nlm.nih.gov/gene/401505", "401505")</f>
        <v>401505</v>
      </c>
      <c r="J239" s="12" t="s">
        <v>19302</v>
      </c>
      <c r="K239" s="12" t="s">
        <v>19303</v>
      </c>
      <c r="L239" s="13" t="str">
        <f>HYPERLINK("http://asia.ensembl.org/Homo_sapiens/Gene/Summary?g=ENSG00000175768", "ENSG00000175768")</f>
        <v>ENSG00000175768</v>
      </c>
      <c r="M239" s="12" t="s">
        <v>19304</v>
      </c>
      <c r="N239" s="12" t="s">
        <v>19305</v>
      </c>
    </row>
    <row r="240" spans="1:14">
      <c r="A240" s="12" t="s">
        <v>2044</v>
      </c>
      <c r="B240" s="8">
        <v>1796.20657455999</v>
      </c>
      <c r="C240" s="12">
        <v>5638.9072020301301</v>
      </c>
      <c r="D240" s="8">
        <v>-1.65046232287685</v>
      </c>
      <c r="E240" s="12">
        <v>1.22276534643122E-2</v>
      </c>
      <c r="F240" s="8" t="s">
        <v>2045</v>
      </c>
      <c r="G240" s="12" t="s">
        <v>16894</v>
      </c>
      <c r="H240" s="12">
        <v>1</v>
      </c>
      <c r="I240" s="13" t="str">
        <f>HYPERLINK("http://www.ncbi.nlm.nih.gov/gene/23498", "23498")</f>
        <v>23498</v>
      </c>
      <c r="J240" s="13" t="str">
        <f>HYPERLINK("http://www.ncbi.nlm.nih.gov/nuccore/NM_012205", "NM_012205")</f>
        <v>NM_012205</v>
      </c>
      <c r="K240" s="12" t="s">
        <v>2046</v>
      </c>
      <c r="L240" s="13" t="str">
        <f>HYPERLINK("http://asia.ensembl.org/Homo_sapiens/Gene/Summary?g=ENSG00000162882", "ENSG00000162882")</f>
        <v>ENSG00000162882</v>
      </c>
      <c r="M240" s="12" t="s">
        <v>16895</v>
      </c>
      <c r="N240" s="12" t="s">
        <v>16896</v>
      </c>
    </row>
    <row r="241" spans="1:14">
      <c r="A241" s="12" t="s">
        <v>9322</v>
      </c>
      <c r="B241" s="8">
        <v>2050.8200217977001</v>
      </c>
      <c r="C241" s="12">
        <v>6415.4230142466204</v>
      </c>
      <c r="D241" s="8">
        <v>-1.6453435078501799</v>
      </c>
      <c r="E241" s="12">
        <v>2.9192177075831201E-3</v>
      </c>
      <c r="F241" s="8" t="s">
        <v>9323</v>
      </c>
      <c r="G241" s="12" t="s">
        <v>19126</v>
      </c>
      <c r="H241" s="12">
        <v>1</v>
      </c>
      <c r="I241" s="13" t="str">
        <f>HYPERLINK("http://www.ncbi.nlm.nih.gov/gene/81470", "81470")</f>
        <v>81470</v>
      </c>
      <c r="J241" s="13" t="str">
        <f>HYPERLINK("http://www.ncbi.nlm.nih.gov/nuccore/NM_001001915", "NM_001001915")</f>
        <v>NM_001001915</v>
      </c>
      <c r="K241" s="12" t="s">
        <v>9324</v>
      </c>
      <c r="L241" s="13" t="str">
        <f>HYPERLINK("http://asia.ensembl.org/Homo_sapiens/Gene/Summary?g=ENSG00000177489", "ENSG00000177489")</f>
        <v>ENSG00000177489</v>
      </c>
      <c r="M241" s="12" t="s">
        <v>9325</v>
      </c>
      <c r="N241" s="12" t="s">
        <v>9326</v>
      </c>
    </row>
    <row r="242" spans="1:14">
      <c r="A242" s="12" t="s">
        <v>9462</v>
      </c>
      <c r="B242" s="8">
        <v>6656.71132813248</v>
      </c>
      <c r="C242" s="12">
        <v>20821.4835565494</v>
      </c>
      <c r="D242" s="8">
        <v>-1.6451913546333801</v>
      </c>
      <c r="E242" s="12">
        <v>9.5898340150735704E-4</v>
      </c>
      <c r="F242" s="8" t="s">
        <v>3807</v>
      </c>
      <c r="G242" s="12" t="s">
        <v>3808</v>
      </c>
      <c r="H242" s="12">
        <v>1</v>
      </c>
      <c r="I242" s="13" t="str">
        <f>HYPERLINK("http://www.ncbi.nlm.nih.gov/gene/85014", "85014")</f>
        <v>85014</v>
      </c>
      <c r="J242" s="13" t="str">
        <f>HYPERLINK("http://www.ncbi.nlm.nih.gov/nuccore/NM_032928", "NM_032928")</f>
        <v>NM_032928</v>
      </c>
      <c r="K242" s="12" t="s">
        <v>3809</v>
      </c>
      <c r="L242" s="13" t="str">
        <f>HYPERLINK("http://asia.ensembl.org/Homo_sapiens/Gene/Summary?g=ENSG00000244187", "ENSG00000244187")</f>
        <v>ENSG00000244187</v>
      </c>
      <c r="M242" s="12" t="s">
        <v>17430</v>
      </c>
      <c r="N242" s="12" t="s">
        <v>3810</v>
      </c>
    </row>
    <row r="243" spans="1:14">
      <c r="A243" s="12" t="s">
        <v>6104</v>
      </c>
      <c r="B243" s="8">
        <v>55.642524196677897</v>
      </c>
      <c r="C243" s="12">
        <v>174.010840847618</v>
      </c>
      <c r="D243" s="8">
        <v>-1.6449174148921799</v>
      </c>
      <c r="E243" s="12">
        <v>8.7462911545997599E-3</v>
      </c>
      <c r="F243" s="8" t="s">
        <v>6105</v>
      </c>
      <c r="G243" s="12" t="s">
        <v>6106</v>
      </c>
      <c r="H243" s="12">
        <v>1</v>
      </c>
      <c r="I243" s="13" t="str">
        <f>HYPERLINK("http://www.ncbi.nlm.nih.gov/gene/56256", "56256")</f>
        <v>56256</v>
      </c>
      <c r="J243" s="13" t="str">
        <f>HYPERLINK("http://www.ncbi.nlm.nih.gov/nuccore/NM_019605", "NM_019605")</f>
        <v>NM_019605</v>
      </c>
      <c r="K243" s="12" t="s">
        <v>6107</v>
      </c>
      <c r="L243" s="13" t="str">
        <f>HYPERLINK("http://asia.ensembl.org/Homo_sapiens/Gene/Summary?g=ENSG00000082497", "ENSG00000082497")</f>
        <v>ENSG00000082497</v>
      </c>
      <c r="M243" s="12" t="s">
        <v>18055</v>
      </c>
      <c r="N243" s="12" t="s">
        <v>6108</v>
      </c>
    </row>
    <row r="244" spans="1:14">
      <c r="A244" s="12" t="s">
        <v>6306</v>
      </c>
      <c r="B244" s="8">
        <v>6708.1647465549904</v>
      </c>
      <c r="C244" s="12">
        <v>20977.047105452799</v>
      </c>
      <c r="D244" s="8">
        <v>-1.6448215813226801</v>
      </c>
      <c r="E244" s="12">
        <v>8.3337810097731501E-4</v>
      </c>
      <c r="F244" s="8" t="s">
        <v>6307</v>
      </c>
      <c r="G244" s="12" t="s">
        <v>6308</v>
      </c>
      <c r="H244" s="12">
        <v>1</v>
      </c>
      <c r="I244" s="13" t="str">
        <f>HYPERLINK("http://www.ncbi.nlm.nih.gov/gene/6150", "6150")</f>
        <v>6150</v>
      </c>
      <c r="J244" s="13" t="str">
        <f>HYPERLINK("http://www.ncbi.nlm.nih.gov/nuccore/NM_021134", "NM_021134")</f>
        <v>NM_021134</v>
      </c>
      <c r="K244" s="12" t="s">
        <v>6309</v>
      </c>
      <c r="L244" s="13" t="str">
        <f>HYPERLINK("http://asia.ensembl.org/Homo_sapiens/Gene/Summary?g=ENSG00000214026", "ENSG00000214026")</f>
        <v>ENSG00000214026</v>
      </c>
      <c r="M244" s="12" t="s">
        <v>18113</v>
      </c>
      <c r="N244" s="12" t="s">
        <v>18114</v>
      </c>
    </row>
    <row r="245" spans="1:14">
      <c r="A245" s="12" t="s">
        <v>1347</v>
      </c>
      <c r="B245" s="8">
        <v>1673.2845629926501</v>
      </c>
      <c r="C245" s="12">
        <v>5230.2321113829403</v>
      </c>
      <c r="D245" s="8">
        <v>-1.64419215835815</v>
      </c>
      <c r="E245" s="12">
        <v>9.3428586526220496E-4</v>
      </c>
      <c r="F245" s="8" t="s">
        <v>1348</v>
      </c>
      <c r="G245" s="12" t="s">
        <v>1349</v>
      </c>
      <c r="H245" s="12">
        <v>1</v>
      </c>
      <c r="I245" s="13" t="str">
        <f>HYPERLINK("http://www.ncbi.nlm.nih.gov/gene/388722", "388722")</f>
        <v>388722</v>
      </c>
      <c r="J245" s="13" t="str">
        <f>HYPERLINK("http://www.ncbi.nlm.nih.gov/nuccore/NM_001024594", "NM_001024594")</f>
        <v>NM_001024594</v>
      </c>
      <c r="K245" s="12" t="s">
        <v>1350</v>
      </c>
      <c r="L245" s="13" t="str">
        <f>HYPERLINK("http://asia.ensembl.org/Homo_sapiens/Gene/Summary?g=ENSG00000203724", "ENSG00000203724")</f>
        <v>ENSG00000203724</v>
      </c>
      <c r="M245" s="12" t="s">
        <v>16582</v>
      </c>
      <c r="N245" s="12" t="s">
        <v>16583</v>
      </c>
    </row>
    <row r="246" spans="1:14">
      <c r="A246" s="12" t="s">
        <v>9735</v>
      </c>
      <c r="B246" s="8">
        <v>18507.393260798399</v>
      </c>
      <c r="C246" s="12">
        <v>57763.347148343397</v>
      </c>
      <c r="D246" s="8">
        <v>-1.6420526348534901</v>
      </c>
      <c r="E246" s="12">
        <v>1.82284517772485E-3</v>
      </c>
      <c r="F246" s="8" t="s">
        <v>9736</v>
      </c>
      <c r="G246" s="12" t="s">
        <v>19288</v>
      </c>
      <c r="H246" s="12">
        <v>1</v>
      </c>
      <c r="I246" s="13" t="str">
        <f>HYPERLINK("http://www.ncbi.nlm.nih.gov/gene/10476", "10476")</f>
        <v>10476</v>
      </c>
      <c r="J246" s="12" t="s">
        <v>19289</v>
      </c>
      <c r="K246" s="12" t="s">
        <v>19290</v>
      </c>
      <c r="L246" s="13" t="str">
        <f>HYPERLINK("http://asia.ensembl.org/Homo_sapiens/Gene/Summary?g=ENSG00000167863", "ENSG00000167863")</f>
        <v>ENSG00000167863</v>
      </c>
      <c r="M246" s="12" t="s">
        <v>19291</v>
      </c>
      <c r="N246" s="12" t="s">
        <v>19292</v>
      </c>
    </row>
    <row r="247" spans="1:14">
      <c r="A247" s="12" t="s">
        <v>3693</v>
      </c>
      <c r="B247" s="8">
        <v>155.57360178417599</v>
      </c>
      <c r="C247" s="12">
        <v>484.69877380257998</v>
      </c>
      <c r="D247" s="8">
        <v>-1.6394911526800799</v>
      </c>
      <c r="E247" s="12">
        <v>4.1075823649419502E-3</v>
      </c>
      <c r="F247" s="8" t="s">
        <v>3694</v>
      </c>
      <c r="G247" s="12" t="s">
        <v>3695</v>
      </c>
      <c r="H247" s="12">
        <v>1</v>
      </c>
      <c r="I247" s="13" t="str">
        <f>HYPERLINK("http://www.ncbi.nlm.nih.gov/gene/1381", "1381")</f>
        <v>1381</v>
      </c>
      <c r="J247" s="13" t="str">
        <f>HYPERLINK("http://www.ncbi.nlm.nih.gov/nuccore/NM_004378", "NM_004378")</f>
        <v>NM_004378</v>
      </c>
      <c r="K247" s="12" t="s">
        <v>3696</v>
      </c>
      <c r="L247" s="13" t="str">
        <f>HYPERLINK("http://asia.ensembl.org/Homo_sapiens/Gene/Summary?g=ENSG00000166426", "ENSG00000166426")</f>
        <v>ENSG00000166426</v>
      </c>
      <c r="M247" s="12" t="s">
        <v>17377</v>
      </c>
      <c r="N247" s="12" t="s">
        <v>17378</v>
      </c>
    </row>
    <row r="248" spans="1:14">
      <c r="A248" s="12" t="s">
        <v>4003</v>
      </c>
      <c r="B248" s="8">
        <v>45257.260439011501</v>
      </c>
      <c r="C248" s="12">
        <v>140593.75642715301</v>
      </c>
      <c r="D248" s="8">
        <v>-1.6353113661579299</v>
      </c>
      <c r="E248" s="12">
        <v>1.87919301413411E-3</v>
      </c>
      <c r="F248" s="8" t="s">
        <v>4004</v>
      </c>
      <c r="G248" s="12" t="s">
        <v>286</v>
      </c>
      <c r="H248" s="12">
        <v>1</v>
      </c>
      <c r="I248" s="13" t="str">
        <f>HYPERLINK("http://www.ncbi.nlm.nih.gov/gene/126328", "126328")</f>
        <v>126328</v>
      </c>
      <c r="J248" s="12" t="s">
        <v>17515</v>
      </c>
      <c r="K248" s="12" t="s">
        <v>17516</v>
      </c>
      <c r="L248" s="13" t="str">
        <f>HYPERLINK("http://asia.ensembl.org/Homo_sapiens/Gene/Summary?g=ENSG00000174886", "ENSG00000174886")</f>
        <v>ENSG00000174886</v>
      </c>
      <c r="M248" s="12" t="s">
        <v>17517</v>
      </c>
      <c r="N248" s="12" t="s">
        <v>17518</v>
      </c>
    </row>
    <row r="249" spans="1:14">
      <c r="A249" s="12" t="s">
        <v>2610</v>
      </c>
      <c r="B249" s="8">
        <v>3606.81528529349</v>
      </c>
      <c r="C249" s="12">
        <v>11204.558850416801</v>
      </c>
      <c r="D249" s="8">
        <v>-1.6352884018632501</v>
      </c>
      <c r="E249" s="12">
        <v>4.8029329511569199E-4</v>
      </c>
      <c r="F249" s="8" t="s">
        <v>2611</v>
      </c>
      <c r="G249" s="12" t="s">
        <v>2612</v>
      </c>
      <c r="H249" s="12">
        <v>1</v>
      </c>
      <c r="I249" s="13" t="str">
        <f>HYPERLINK("http://www.ncbi.nlm.nih.gov/gene/388394", "388394")</f>
        <v>388394</v>
      </c>
      <c r="J249" s="13" t="str">
        <f>HYPERLINK("http://www.ncbi.nlm.nih.gov/nuccore/NM_203400", "NM_203400")</f>
        <v>NM_203400</v>
      </c>
      <c r="K249" s="12" t="s">
        <v>2613</v>
      </c>
      <c r="L249" s="13" t="str">
        <f>HYPERLINK("http://asia.ensembl.org/Homo_sapiens/Gene/Summary?g=ENSG00000179673", "ENSG00000179673")</f>
        <v>ENSG00000179673</v>
      </c>
      <c r="M249" s="12" t="s">
        <v>2614</v>
      </c>
      <c r="N249" s="12" t="s">
        <v>2615</v>
      </c>
    </row>
    <row r="250" spans="1:14">
      <c r="A250" s="12" t="s">
        <v>10259</v>
      </c>
      <c r="B250" s="8">
        <v>5177.2107435096495</v>
      </c>
      <c r="C250" s="12">
        <v>16074.856703817601</v>
      </c>
      <c r="D250" s="8">
        <v>-1.63455892614381</v>
      </c>
      <c r="E250" s="12">
        <v>2.4128080334094599E-3</v>
      </c>
      <c r="F250" s="8" t="s">
        <v>10260</v>
      </c>
      <c r="G250" s="12" t="s">
        <v>10261</v>
      </c>
      <c r="H250" s="12">
        <v>1</v>
      </c>
      <c r="I250" s="13" t="str">
        <f>HYPERLINK("http://www.ncbi.nlm.nih.gov/gene/3921", "3921")</f>
        <v>3921</v>
      </c>
      <c r="J250" s="13" t="str">
        <f>HYPERLINK("http://www.ncbi.nlm.nih.gov/nuccore/NM_002295", "NM_002295")</f>
        <v>NM_002295</v>
      </c>
      <c r="K250" s="12" t="s">
        <v>10262</v>
      </c>
      <c r="L250" s="13" t="str">
        <f>HYPERLINK("http://asia.ensembl.org/Homo_sapiens/Gene/Summary?g=ENSG00000168028", "ENSG00000168028")</f>
        <v>ENSG00000168028</v>
      </c>
      <c r="M250" s="12" t="s">
        <v>19639</v>
      </c>
      <c r="N250" s="12" t="s">
        <v>19640</v>
      </c>
    </row>
    <row r="251" spans="1:14">
      <c r="A251" s="12" t="s">
        <v>8915</v>
      </c>
      <c r="B251" s="8">
        <v>2335.8014242600202</v>
      </c>
      <c r="C251" s="12">
        <v>7250.7363511865697</v>
      </c>
      <c r="D251" s="8">
        <v>-1.6342098857854099</v>
      </c>
      <c r="E251" s="12">
        <v>9.1194724420211098E-4</v>
      </c>
      <c r="F251" s="8" t="s">
        <v>8916</v>
      </c>
      <c r="G251" s="12" t="s">
        <v>8917</v>
      </c>
      <c r="H251" s="12">
        <v>1</v>
      </c>
      <c r="I251" s="13" t="str">
        <f>HYPERLINK("http://www.ncbi.nlm.nih.gov/gene/10935", "10935")</f>
        <v>10935</v>
      </c>
      <c r="J251" s="13" t="str">
        <f>HYPERLINK("http://www.ncbi.nlm.nih.gov/nuccore/NM_006793", "NM_006793")</f>
        <v>NM_006793</v>
      </c>
      <c r="K251" s="12" t="s">
        <v>8918</v>
      </c>
      <c r="L251" s="13" t="str">
        <f>HYPERLINK("http://asia.ensembl.org/Homo_sapiens/Gene/Summary?g=ENSG00000165672", "ENSG00000165672")</f>
        <v>ENSG00000165672</v>
      </c>
      <c r="M251" s="12" t="s">
        <v>19015</v>
      </c>
      <c r="N251" s="12" t="s">
        <v>8919</v>
      </c>
    </row>
    <row r="252" spans="1:14">
      <c r="A252" s="12" t="s">
        <v>3922</v>
      </c>
      <c r="B252" s="8">
        <v>591.98052996921899</v>
      </c>
      <c r="C252" s="12">
        <v>1836.7784384362001</v>
      </c>
      <c r="D252" s="8">
        <v>-1.6335559797094401</v>
      </c>
      <c r="E252" s="12">
        <v>6.8876871744908098E-3</v>
      </c>
      <c r="F252" s="8" t="s">
        <v>3923</v>
      </c>
      <c r="G252" s="12" t="s">
        <v>3924</v>
      </c>
      <c r="H252" s="12">
        <v>1</v>
      </c>
      <c r="I252" s="13" t="str">
        <f>HYPERLINK("http://www.ncbi.nlm.nih.gov/gene/220323", "220323")</f>
        <v>220323</v>
      </c>
      <c r="J252" s="13" t="str">
        <f>HYPERLINK("http://www.ncbi.nlm.nih.gov/nuccore/NM_178507", "NM_178507")</f>
        <v>NM_178507</v>
      </c>
      <c r="K252" s="12" t="s">
        <v>3925</v>
      </c>
      <c r="L252" s="13" t="str">
        <f>HYPERLINK("http://asia.ensembl.org/Homo_sapiens/Gene/Summary?g=ENSG00000184232", "ENSG00000184232")</f>
        <v>ENSG00000184232</v>
      </c>
      <c r="M252" s="12" t="s">
        <v>17477</v>
      </c>
      <c r="N252" s="12" t="s">
        <v>17478</v>
      </c>
    </row>
    <row r="253" spans="1:14">
      <c r="A253" s="12" t="s">
        <v>10479</v>
      </c>
      <c r="B253" s="8">
        <v>127.728679169247</v>
      </c>
      <c r="C253" s="12">
        <v>395.92571699847099</v>
      </c>
      <c r="D253" s="8">
        <v>-1.63214728682743</v>
      </c>
      <c r="E253" s="12">
        <v>2.70161230885914E-3</v>
      </c>
      <c r="F253" s="8" t="s">
        <v>5942</v>
      </c>
      <c r="G253" s="12" t="s">
        <v>19599</v>
      </c>
      <c r="H253" s="12">
        <v>1</v>
      </c>
      <c r="I253" s="13" t="str">
        <f>HYPERLINK("http://www.ncbi.nlm.nih.gov/gene/3910", "3910")</f>
        <v>3910</v>
      </c>
      <c r="J253" s="12" t="s">
        <v>19752</v>
      </c>
      <c r="K253" s="12" t="s">
        <v>19753</v>
      </c>
      <c r="L253" s="13" t="str">
        <f>HYPERLINK("http://asia.ensembl.org/Homo_sapiens/Gene/Summary?g=ENSG00000112769", "ENSG00000112769")</f>
        <v>ENSG00000112769</v>
      </c>
      <c r="M253" s="12" t="s">
        <v>19602</v>
      </c>
      <c r="N253" s="12" t="s">
        <v>19603</v>
      </c>
    </row>
    <row r="254" spans="1:14">
      <c r="A254" s="12" t="s">
        <v>10286</v>
      </c>
      <c r="B254" s="8">
        <v>31741.129011414399</v>
      </c>
      <c r="C254" s="12">
        <v>98370.454636760696</v>
      </c>
      <c r="D254" s="8">
        <v>-1.6318716253277601</v>
      </c>
      <c r="E254" s="12">
        <v>1.0991806192285701E-3</v>
      </c>
      <c r="F254" s="8" t="s">
        <v>2686</v>
      </c>
      <c r="G254" s="12" t="s">
        <v>2687</v>
      </c>
      <c r="H254" s="12">
        <v>1</v>
      </c>
      <c r="I254" s="13" t="str">
        <f>HYPERLINK("http://www.ncbi.nlm.nih.gov/gene/8721", "8721")</f>
        <v>8721</v>
      </c>
      <c r="J254" s="12" t="s">
        <v>19650</v>
      </c>
      <c r="K254" s="12" t="s">
        <v>19651</v>
      </c>
      <c r="L254" s="13" t="str">
        <f>HYPERLINK("http://asia.ensembl.org/Homo_sapiens/Gene/Summary?g=ENSG00000107223", "ENSG00000107223")</f>
        <v>ENSG00000107223</v>
      </c>
      <c r="M254" s="12" t="s">
        <v>17073</v>
      </c>
      <c r="N254" s="12" t="s">
        <v>17074</v>
      </c>
    </row>
    <row r="255" spans="1:14">
      <c r="A255" s="12" t="s">
        <v>2279</v>
      </c>
      <c r="B255" s="8">
        <v>92.198923155500907</v>
      </c>
      <c r="C255" s="12">
        <v>285.42943911652998</v>
      </c>
      <c r="D255" s="8">
        <v>-1.63031233587441</v>
      </c>
      <c r="E255" s="12">
        <v>3.9051250772301799E-3</v>
      </c>
      <c r="F255" s="8" t="s">
        <v>2280</v>
      </c>
      <c r="G255" s="12" t="s">
        <v>2281</v>
      </c>
      <c r="H255" s="12">
        <v>1</v>
      </c>
      <c r="I255" s="13" t="str">
        <f>HYPERLINK("http://www.ncbi.nlm.nih.gov/gene/341947", "341947")</f>
        <v>341947</v>
      </c>
      <c r="J255" s="13" t="str">
        <f>HYPERLINK("http://www.ncbi.nlm.nih.gov/nuccore/NM_182971", "NM_182971")</f>
        <v>NM_182971</v>
      </c>
      <c r="K255" s="12" t="s">
        <v>2282</v>
      </c>
      <c r="L255" s="13" t="str">
        <f>HYPERLINK("http://asia.ensembl.org/Homo_sapiens/Gene/Summary?g=ENSG00000277018", "ENSG00000277018")</f>
        <v>ENSG00000277018</v>
      </c>
      <c r="M255" s="12" t="s">
        <v>2283</v>
      </c>
      <c r="N255" s="12" t="s">
        <v>2284</v>
      </c>
    </row>
    <row r="256" spans="1:14">
      <c r="A256" s="12" t="s">
        <v>7459</v>
      </c>
      <c r="B256" s="8">
        <v>3723.38304921281</v>
      </c>
      <c r="C256" s="12">
        <v>11522.0643353736</v>
      </c>
      <c r="D256" s="8">
        <v>-1.6297132698968</v>
      </c>
      <c r="E256" s="12">
        <v>4.9972874148644601E-3</v>
      </c>
      <c r="F256" s="8" t="s">
        <v>4429</v>
      </c>
      <c r="G256" s="12" t="s">
        <v>4430</v>
      </c>
      <c r="H256" s="12">
        <v>1</v>
      </c>
      <c r="I256" s="13" t="str">
        <f>HYPERLINK("http://www.ncbi.nlm.nih.gov/gene/51003", "51003")</f>
        <v>51003</v>
      </c>
      <c r="J256" s="13" t="str">
        <f>HYPERLINK("http://www.ncbi.nlm.nih.gov/nuccore/NM_016060", "NM_016060")</f>
        <v>NM_016060</v>
      </c>
      <c r="K256" s="12" t="s">
        <v>4431</v>
      </c>
      <c r="L256" s="13" t="str">
        <f>HYPERLINK("http://asia.ensembl.org/Homo_sapiens/Gene/Summary?g=ENSG00000108590", "ENSG00000108590")</f>
        <v>ENSG00000108590</v>
      </c>
      <c r="M256" s="12" t="s">
        <v>18532</v>
      </c>
      <c r="N256" s="12" t="s">
        <v>18533</v>
      </c>
    </row>
    <row r="257" spans="1:14">
      <c r="A257" s="12" t="s">
        <v>6700</v>
      </c>
      <c r="B257" s="8">
        <v>393.339942419625</v>
      </c>
      <c r="C257" s="12">
        <v>1216.5211648156601</v>
      </c>
      <c r="D257" s="8">
        <v>-1.62891282031926</v>
      </c>
      <c r="E257" s="12">
        <v>1.4663276069146599E-2</v>
      </c>
      <c r="F257" s="8" t="s">
        <v>6701</v>
      </c>
      <c r="G257" s="12" t="s">
        <v>6702</v>
      </c>
      <c r="H257" s="12">
        <v>1</v>
      </c>
      <c r="I257" s="13" t="str">
        <f>HYPERLINK("http://www.ncbi.nlm.nih.gov/gene/131368", "131368")</f>
        <v>131368</v>
      </c>
      <c r="J257" s="13" t="str">
        <f>HYPERLINK("http://www.ncbi.nlm.nih.gov/nuccore/NM_175056", "NM_175056")</f>
        <v>NM_175056</v>
      </c>
      <c r="K257" s="12" t="s">
        <v>6703</v>
      </c>
      <c r="L257" s="13" t="str">
        <f>HYPERLINK("http://asia.ensembl.org/Homo_sapiens/Gene/Summary?g=ENSG00000170044", "ENSG00000170044")</f>
        <v>ENSG00000170044</v>
      </c>
      <c r="M257" s="12" t="s">
        <v>15850</v>
      </c>
      <c r="N257" s="12" t="s">
        <v>15851</v>
      </c>
    </row>
    <row r="258" spans="1:14">
      <c r="A258" s="12" t="s">
        <v>10005</v>
      </c>
      <c r="B258" s="8">
        <v>36289.352001054103</v>
      </c>
      <c r="C258" s="12">
        <v>112029.781549662</v>
      </c>
      <c r="D258" s="8">
        <v>-1.62626410280583</v>
      </c>
      <c r="E258" s="12">
        <v>6.5673935518499799E-4</v>
      </c>
      <c r="F258" s="8" t="s">
        <v>10006</v>
      </c>
      <c r="G258" s="12" t="s">
        <v>10007</v>
      </c>
      <c r="H258" s="12">
        <v>1</v>
      </c>
      <c r="I258" s="13" t="str">
        <f>HYPERLINK("http://www.ncbi.nlm.nih.gov/gene/400916", "400916")</f>
        <v>400916</v>
      </c>
      <c r="J258" s="13" t="str">
        <f>HYPERLINK("http://www.ncbi.nlm.nih.gov/nuccore/NM_213720", "NM_213720")</f>
        <v>NM_213720</v>
      </c>
      <c r="K258" s="12" t="s">
        <v>10008</v>
      </c>
      <c r="L258" s="13" t="str">
        <f>HYPERLINK("http://asia.ensembl.org/Homo_sapiens/Gene/Summary?g=ENSG00000273607", "ENSG00000273607")</f>
        <v>ENSG00000273607</v>
      </c>
      <c r="M258" s="12" t="s">
        <v>19502</v>
      </c>
      <c r="N258" s="12" t="s">
        <v>19503</v>
      </c>
    </row>
    <row r="259" spans="1:14">
      <c r="A259" s="12" t="s">
        <v>78</v>
      </c>
      <c r="B259" s="8">
        <v>179.27784114543999</v>
      </c>
      <c r="C259" s="12">
        <v>553.20874785378101</v>
      </c>
      <c r="D259" s="8">
        <v>-1.62562678870527</v>
      </c>
      <c r="E259" s="12">
        <v>2.0461428695591299E-3</v>
      </c>
      <c r="F259" s="8" t="s">
        <v>79</v>
      </c>
      <c r="G259" s="12" t="s">
        <v>16242</v>
      </c>
      <c r="H259" s="12">
        <v>1</v>
      </c>
      <c r="I259" s="13" t="str">
        <f>HYPERLINK("http://www.ncbi.nlm.nih.gov/gene/1428", "1428")</f>
        <v>1428</v>
      </c>
      <c r="J259" s="13" t="str">
        <f>HYPERLINK("http://www.ncbi.nlm.nih.gov/nuccore/NM_001888", "NM_001888")</f>
        <v>NM_001888</v>
      </c>
      <c r="K259" s="12" t="s">
        <v>80</v>
      </c>
      <c r="L259" s="13" t="str">
        <f>HYPERLINK("http://asia.ensembl.org/Homo_sapiens/Gene/Summary?g=ENSG00000103316", "ENSG00000103316")</f>
        <v>ENSG00000103316</v>
      </c>
      <c r="M259" s="12" t="s">
        <v>16243</v>
      </c>
      <c r="N259" s="12" t="s">
        <v>16244</v>
      </c>
    </row>
    <row r="260" spans="1:14">
      <c r="A260" s="12" t="s">
        <v>7748</v>
      </c>
      <c r="B260" s="8">
        <v>366.02125960466401</v>
      </c>
      <c r="C260" s="12">
        <v>1127.5355680976099</v>
      </c>
      <c r="D260" s="8">
        <v>-1.6231735919188099</v>
      </c>
      <c r="E260" s="12">
        <v>1.25136525749434E-3</v>
      </c>
      <c r="F260" s="8" t="s">
        <v>7749</v>
      </c>
      <c r="G260" s="12" t="s">
        <v>288</v>
      </c>
      <c r="H260" s="12">
        <v>1</v>
      </c>
      <c r="I260" s="13" t="str">
        <f>HYPERLINK("http://www.ncbi.nlm.nih.gov/gene/94235", "94235")</f>
        <v>94235</v>
      </c>
      <c r="J260" s="13" t="str">
        <f>HYPERLINK("http://www.ncbi.nlm.nih.gov/nuccore/NM_033258", "NM_033258")</f>
        <v>NM_033258</v>
      </c>
      <c r="K260" s="12" t="s">
        <v>7750</v>
      </c>
      <c r="L260" s="13" t="str">
        <f>HYPERLINK("http://asia.ensembl.org/Homo_sapiens/Gene/Summary?g=ENSG00000167414", "ENSG00000167414")</f>
        <v>ENSG00000167414</v>
      </c>
      <c r="M260" s="12" t="s">
        <v>7751</v>
      </c>
      <c r="N260" s="12" t="s">
        <v>7752</v>
      </c>
    </row>
    <row r="261" spans="1:14">
      <c r="A261" s="12" t="s">
        <v>5722</v>
      </c>
      <c r="B261" s="8">
        <v>432.47808357421599</v>
      </c>
      <c r="C261" s="12">
        <v>1331.98174978721</v>
      </c>
      <c r="D261" s="8">
        <v>-1.62287538624288</v>
      </c>
      <c r="E261" s="12">
        <v>1.9776476056710299E-4</v>
      </c>
      <c r="F261" s="8" t="s">
        <v>5723</v>
      </c>
      <c r="G261" s="12" t="s">
        <v>17946</v>
      </c>
      <c r="H261" s="12">
        <v>1</v>
      </c>
      <c r="I261" s="13" t="str">
        <f>HYPERLINK("http://www.ncbi.nlm.nih.gov/gene/26471", "26471")</f>
        <v>26471</v>
      </c>
      <c r="J261" s="12" t="s">
        <v>17947</v>
      </c>
      <c r="K261" s="12" t="s">
        <v>17948</v>
      </c>
      <c r="L261" s="13" t="str">
        <f>HYPERLINK("http://asia.ensembl.org/Homo_sapiens/Gene/Summary?g=ENSG00000176046", "ENSG00000176046")</f>
        <v>ENSG00000176046</v>
      </c>
      <c r="M261" s="12" t="s">
        <v>17949</v>
      </c>
      <c r="N261" s="12" t="s">
        <v>17950</v>
      </c>
    </row>
    <row r="262" spans="1:14">
      <c r="A262" s="12" t="s">
        <v>10907</v>
      </c>
      <c r="B262" s="8">
        <v>42837.1299785917</v>
      </c>
      <c r="C262" s="12">
        <v>131914.79367301299</v>
      </c>
      <c r="D262" s="8">
        <v>-1.62267263556146</v>
      </c>
      <c r="E262" s="12">
        <v>2.2113067467202699E-3</v>
      </c>
      <c r="F262" s="8" t="s">
        <v>10908</v>
      </c>
      <c r="G262" s="12" t="s">
        <v>10909</v>
      </c>
      <c r="H262" s="12">
        <v>1</v>
      </c>
      <c r="I262" s="13" t="str">
        <f>HYPERLINK("http://www.ncbi.nlm.nih.gov/gene/26521", "26521")</f>
        <v>26521</v>
      </c>
      <c r="J262" s="12" t="s">
        <v>19900</v>
      </c>
      <c r="K262" s="12" t="s">
        <v>19901</v>
      </c>
      <c r="L262" s="13" t="str">
        <f>HYPERLINK("http://asia.ensembl.org/Homo_sapiens/Gene/Summary?g=ENSG00000150779", "ENSG00000150779")</f>
        <v>ENSG00000150779</v>
      </c>
      <c r="M262" s="12" t="s">
        <v>19902</v>
      </c>
      <c r="N262" s="12" t="s">
        <v>19903</v>
      </c>
    </row>
    <row r="263" spans="1:14">
      <c r="A263" s="12" t="s">
        <v>7392</v>
      </c>
      <c r="B263" s="8">
        <v>27109.4425162935</v>
      </c>
      <c r="C263" s="12">
        <v>83410.159373329006</v>
      </c>
      <c r="D263" s="8">
        <v>-1.62142766927669</v>
      </c>
      <c r="E263" s="12">
        <v>8.86842816294414E-4</v>
      </c>
      <c r="F263" s="8" t="s">
        <v>541</v>
      </c>
      <c r="G263" s="12" t="s">
        <v>542</v>
      </c>
      <c r="H263" s="12">
        <v>1</v>
      </c>
      <c r="I263" s="13" t="str">
        <f>HYPERLINK("http://www.ncbi.nlm.nih.gov/gene/51255", "51255")</f>
        <v>51255</v>
      </c>
      <c r="J263" s="13" t="str">
        <f>HYPERLINK("http://www.ncbi.nlm.nih.gov/nuccore/NM_016494", "NM_016494")</f>
        <v>NM_016494</v>
      </c>
      <c r="K263" s="12" t="s">
        <v>543</v>
      </c>
      <c r="L263" s="13" t="str">
        <f>HYPERLINK("http://asia.ensembl.org/Homo_sapiens/Gene/Summary?g=ENSG00000168894", "ENSG00000168894")</f>
        <v>ENSG00000168894</v>
      </c>
      <c r="M263" s="12" t="s">
        <v>16368</v>
      </c>
      <c r="N263" s="12" t="s">
        <v>16369</v>
      </c>
    </row>
    <row r="264" spans="1:14">
      <c r="A264" s="12" t="s">
        <v>6649</v>
      </c>
      <c r="B264" s="8">
        <v>248.053744185727</v>
      </c>
      <c r="C264" s="12">
        <v>762.90162661346801</v>
      </c>
      <c r="D264" s="8">
        <v>-1.6208443049835399</v>
      </c>
      <c r="E264" s="12">
        <v>2.2469578811646499E-3</v>
      </c>
      <c r="F264" s="8" t="s">
        <v>6650</v>
      </c>
      <c r="G264" s="12" t="s">
        <v>6651</v>
      </c>
      <c r="H264" s="12">
        <v>1</v>
      </c>
      <c r="I264" s="13" t="str">
        <f>HYPERLINK("http://www.ncbi.nlm.nih.gov/gene/57045", "57045")</f>
        <v>57045</v>
      </c>
      <c r="J264" s="13" t="str">
        <f>HYPERLINK("http://www.ncbi.nlm.nih.gov/nuccore/NM_020648", "NM_020648")</f>
        <v>NM_020648</v>
      </c>
      <c r="K264" s="12" t="s">
        <v>6652</v>
      </c>
      <c r="L264" s="13" t="str">
        <f>HYPERLINK("http://asia.ensembl.org/Homo_sapiens/Gene/Summary?g=ENSG00000128791", "ENSG00000128791")</f>
        <v>ENSG00000128791</v>
      </c>
      <c r="M264" s="12" t="s">
        <v>18228</v>
      </c>
      <c r="N264" s="12" t="s">
        <v>18229</v>
      </c>
    </row>
    <row r="265" spans="1:14">
      <c r="A265" s="12" t="s">
        <v>2926</v>
      </c>
      <c r="B265" s="8">
        <v>532.40507756908596</v>
      </c>
      <c r="C265" s="12">
        <v>1636.61619559467</v>
      </c>
      <c r="D265" s="8">
        <v>-1.6201197982340401</v>
      </c>
      <c r="E265" s="12">
        <v>1.20981728845665E-3</v>
      </c>
      <c r="F265" s="8" t="s">
        <v>2927</v>
      </c>
      <c r="G265" s="12" t="s">
        <v>17137</v>
      </c>
      <c r="H265" s="12">
        <v>1</v>
      </c>
      <c r="I265" s="13" t="str">
        <f>HYPERLINK("http://www.ncbi.nlm.nih.gov/gene/8784", "8784")</f>
        <v>8784</v>
      </c>
      <c r="J265" s="12" t="s">
        <v>17138</v>
      </c>
      <c r="K265" s="12" t="s">
        <v>17139</v>
      </c>
      <c r="L265" s="13" t="str">
        <f>HYPERLINK("http://asia.ensembl.org/Homo_sapiens/Gene/Summary?g=ENSG00000186891", "ENSG00000186891")</f>
        <v>ENSG00000186891</v>
      </c>
      <c r="M265" s="12" t="s">
        <v>17140</v>
      </c>
      <c r="N265" s="12" t="s">
        <v>17141</v>
      </c>
    </row>
    <row r="266" spans="1:14">
      <c r="A266" s="12" t="s">
        <v>4031</v>
      </c>
      <c r="B266" s="8">
        <v>23781.741757209202</v>
      </c>
      <c r="C266" s="12">
        <v>72788.751683009294</v>
      </c>
      <c r="D266" s="8">
        <v>-1.6138611417358899</v>
      </c>
      <c r="E266" s="12">
        <v>1.80884885695023E-3</v>
      </c>
      <c r="F266" s="8" t="s">
        <v>4032</v>
      </c>
      <c r="G266" s="12" t="s">
        <v>4033</v>
      </c>
      <c r="H266" s="12">
        <v>1</v>
      </c>
      <c r="I266" s="13" t="str">
        <f>HYPERLINK("http://www.ncbi.nlm.nih.gov/gene/391356", "391356")</f>
        <v>391356</v>
      </c>
      <c r="J266" s="13" t="str">
        <f>HYPERLINK("http://www.ncbi.nlm.nih.gov/nuccore/NM_001013663", "NM_001013663")</f>
        <v>NM_001013663</v>
      </c>
      <c r="K266" s="12" t="s">
        <v>4034</v>
      </c>
      <c r="L266" s="13" t="str">
        <f>HYPERLINK("http://asia.ensembl.org/Homo_sapiens/Gene/Summary?g=ENSG00000184924", "ENSG00000184924")</f>
        <v>ENSG00000184924</v>
      </c>
      <c r="M266" s="12" t="s">
        <v>17519</v>
      </c>
      <c r="N266" s="12" t="s">
        <v>4035</v>
      </c>
    </row>
    <row r="267" spans="1:14">
      <c r="A267" s="12" t="s">
        <v>7698</v>
      </c>
      <c r="B267" s="8">
        <v>2341.2282942448201</v>
      </c>
      <c r="C267" s="12">
        <v>7162.9493197367701</v>
      </c>
      <c r="D267" s="8">
        <v>-1.6132881153718099</v>
      </c>
      <c r="E267" s="12">
        <v>8.7733664362812003E-4</v>
      </c>
      <c r="F267" s="8" t="s">
        <v>4964</v>
      </c>
      <c r="G267" s="12" t="s">
        <v>4965</v>
      </c>
      <c r="H267" s="12">
        <v>1</v>
      </c>
      <c r="I267" s="13" t="str">
        <f>HYPERLINK("http://www.ncbi.nlm.nih.gov/gene/23016", "23016")</f>
        <v>23016</v>
      </c>
      <c r="J267" s="12" t="s">
        <v>18625</v>
      </c>
      <c r="K267" s="12" t="s">
        <v>18626</v>
      </c>
      <c r="L267" s="13" t="str">
        <f>HYPERLINK("http://asia.ensembl.org/Homo_sapiens/Gene/Summary?g=ENSG00000075914", "ENSG00000075914")</f>
        <v>ENSG00000075914</v>
      </c>
      <c r="M267" s="12" t="s">
        <v>17771</v>
      </c>
      <c r="N267" s="12" t="s">
        <v>4967</v>
      </c>
    </row>
    <row r="268" spans="1:14">
      <c r="A268" s="12" t="s">
        <v>8009</v>
      </c>
      <c r="B268" s="8">
        <v>1643.3906945506999</v>
      </c>
      <c r="C268" s="12">
        <v>5019.6013318795303</v>
      </c>
      <c r="D268" s="8">
        <v>-1.6108972837548601</v>
      </c>
      <c r="E268" s="12">
        <v>2.7237391027903901E-3</v>
      </c>
      <c r="F268" s="8" t="s">
        <v>8010</v>
      </c>
      <c r="G268" s="12" t="s">
        <v>18699</v>
      </c>
      <c r="H268" s="12">
        <v>1</v>
      </c>
      <c r="I268" s="13" t="str">
        <f>HYPERLINK("http://www.ncbi.nlm.nih.gov/gene/27109", "27109")</f>
        <v>27109</v>
      </c>
      <c r="J268" s="12" t="s">
        <v>18700</v>
      </c>
      <c r="K268" s="12" t="s">
        <v>18701</v>
      </c>
      <c r="L268" s="13" t="str">
        <f>HYPERLINK("http://asia.ensembl.org/Homo_sapiens/Gene/Summary?g=ENSG00000125375", "ENSG00000125375")</f>
        <v>ENSG00000125375</v>
      </c>
      <c r="M268" s="12" t="s">
        <v>18702</v>
      </c>
      <c r="N268" s="12" t="s">
        <v>18703</v>
      </c>
    </row>
    <row r="269" spans="1:14">
      <c r="A269" s="12" t="s">
        <v>3128</v>
      </c>
      <c r="B269" s="8">
        <v>10263.595538190501</v>
      </c>
      <c r="C269" s="12">
        <v>31343.840319423602</v>
      </c>
      <c r="D269" s="8">
        <v>-1.6106457291829299</v>
      </c>
      <c r="E269" s="12">
        <v>4.6750548577200699E-4</v>
      </c>
      <c r="F269" s="8" t="s">
        <v>3129</v>
      </c>
      <c r="G269" s="12" t="s">
        <v>3130</v>
      </c>
      <c r="H269" s="12">
        <v>1</v>
      </c>
      <c r="I269" s="13" t="str">
        <f>HYPERLINK("http://www.ncbi.nlm.nih.gov/gene/51222", "51222")</f>
        <v>51222</v>
      </c>
      <c r="J269" s="12" t="s">
        <v>17209</v>
      </c>
      <c r="K269" s="12" t="s">
        <v>17210</v>
      </c>
      <c r="L269" s="13" t="str">
        <f>HYPERLINK("http://asia.ensembl.org/Homo_sapiens/Gene/Summary?g=ENSG00000165804", "ENSG00000165804")</f>
        <v>ENSG00000165804</v>
      </c>
      <c r="M269" s="12" t="s">
        <v>17211</v>
      </c>
      <c r="N269" s="12" t="s">
        <v>17212</v>
      </c>
    </row>
    <row r="270" spans="1:14">
      <c r="A270" s="12" t="s">
        <v>11513</v>
      </c>
      <c r="B270" s="8">
        <v>83313.461298583599</v>
      </c>
      <c r="C270" s="12">
        <v>254407.599561568</v>
      </c>
      <c r="D270" s="8">
        <v>-1.61052024516417</v>
      </c>
      <c r="E270" s="12">
        <v>3.04361884744626E-3</v>
      </c>
      <c r="F270" s="8" t="s">
        <v>11514</v>
      </c>
      <c r="G270" s="12" t="s">
        <v>11515</v>
      </c>
      <c r="H270" s="12">
        <v>1</v>
      </c>
      <c r="I270" s="13" t="str">
        <f>HYPERLINK("http://www.ncbi.nlm.nih.gov/gene/1327", "1327")</f>
        <v>1327</v>
      </c>
      <c r="J270" s="13" t="str">
        <f>HYPERLINK("http://www.ncbi.nlm.nih.gov/nuccore/NM_001861", "NM_001861")</f>
        <v>NM_001861</v>
      </c>
      <c r="K270" s="12" t="s">
        <v>11516</v>
      </c>
      <c r="L270" s="13" t="str">
        <f>HYPERLINK("http://asia.ensembl.org/Homo_sapiens/Gene/Summary?g=ENSG00000131143", "ENSG00000131143")</f>
        <v>ENSG00000131143</v>
      </c>
      <c r="M270" s="12" t="s">
        <v>20128</v>
      </c>
      <c r="N270" s="12" t="s">
        <v>20129</v>
      </c>
    </row>
    <row r="271" spans="1:14">
      <c r="A271" s="12" t="s">
        <v>11078</v>
      </c>
      <c r="B271" s="8">
        <v>8969.8535618248698</v>
      </c>
      <c r="C271" s="12">
        <v>27379.0300755182</v>
      </c>
      <c r="D271" s="8">
        <v>-1.6099150012540899</v>
      </c>
      <c r="E271" s="12">
        <v>7.4603317407256702E-4</v>
      </c>
      <c r="F271" s="8" t="s">
        <v>11079</v>
      </c>
      <c r="G271" s="12" t="s">
        <v>11080</v>
      </c>
      <c r="H271" s="12">
        <v>1</v>
      </c>
      <c r="I271" s="13" t="str">
        <f>HYPERLINK("http://www.ncbi.nlm.nih.gov/gene/6204", "6204")</f>
        <v>6204</v>
      </c>
      <c r="J271" s="13" t="str">
        <f>HYPERLINK("http://www.ncbi.nlm.nih.gov/nuccore/NM_001203245", "NM_001203245")</f>
        <v>NM_001203245</v>
      </c>
      <c r="K271" s="12" t="s">
        <v>11081</v>
      </c>
      <c r="L271" s="13" t="str">
        <f>HYPERLINK("http://asia.ensembl.org/Homo_sapiens/Gene/Summary?g=ENSG00000124614", "ENSG00000124614")</f>
        <v>ENSG00000124614</v>
      </c>
      <c r="M271" s="12" t="s">
        <v>19956</v>
      </c>
      <c r="N271" s="12" t="s">
        <v>19957</v>
      </c>
    </row>
    <row r="272" spans="1:14">
      <c r="A272" s="12" t="s">
        <v>2910</v>
      </c>
      <c r="B272" s="8">
        <v>261.598302821868</v>
      </c>
      <c r="C272" s="12">
        <v>797.27988643543097</v>
      </c>
      <c r="D272" s="8">
        <v>-1.60773309258046</v>
      </c>
      <c r="E272" s="12">
        <v>1.2550074514147899E-3</v>
      </c>
      <c r="F272" s="8" t="s">
        <v>2911</v>
      </c>
      <c r="G272" s="12" t="s">
        <v>17127</v>
      </c>
      <c r="H272" s="12">
        <v>1</v>
      </c>
      <c r="I272" s="13" t="str">
        <f>HYPERLINK("http://www.ncbi.nlm.nih.gov/gene/100131755", "100131755")</f>
        <v>100131755</v>
      </c>
      <c r="J272" s="13" t="str">
        <f>HYPERLINK("http://www.ncbi.nlm.nih.gov/nuccore/NR_028407", "NR_028407")</f>
        <v>NR_028407</v>
      </c>
      <c r="K272" s="12" t="s">
        <v>199</v>
      </c>
      <c r="L272" s="13" t="str">
        <f>HYPERLINK("http://asia.ensembl.org/Homo_sapiens/Gene/Summary?g=ENSG00000196440", "ENSG00000196440")</f>
        <v>ENSG00000196440</v>
      </c>
      <c r="M272" s="12" t="s">
        <v>17128</v>
      </c>
      <c r="N272" s="12" t="s">
        <v>17129</v>
      </c>
    </row>
    <row r="273" spans="1:14">
      <c r="A273" s="12" t="s">
        <v>9220</v>
      </c>
      <c r="B273" s="8">
        <v>912.97740337293499</v>
      </c>
      <c r="C273" s="12">
        <v>2774.5612494796101</v>
      </c>
      <c r="D273" s="8">
        <v>-1.60360859300213</v>
      </c>
      <c r="E273" s="12">
        <v>2.4406486086211402E-3</v>
      </c>
      <c r="F273" s="8" t="s">
        <v>9221</v>
      </c>
      <c r="G273" s="12" t="s">
        <v>9222</v>
      </c>
      <c r="H273" s="12">
        <v>1</v>
      </c>
      <c r="I273" s="13" t="str">
        <f>HYPERLINK("http://www.ncbi.nlm.nih.gov/gene/404550", "404550")</f>
        <v>404550</v>
      </c>
      <c r="J273" s="13" t="str">
        <f>HYPERLINK("http://www.ncbi.nlm.nih.gov/nuccore/NM_206967", "NM_206967")</f>
        <v>NM_206967</v>
      </c>
      <c r="K273" s="12" t="s">
        <v>9223</v>
      </c>
      <c r="L273" s="13" t="str">
        <f>HYPERLINK("http://asia.ensembl.org/Homo_sapiens/Gene/Summary?g=ENSG00000154102", "ENSG00000154102")</f>
        <v>ENSG00000154102</v>
      </c>
      <c r="M273" s="12" t="s">
        <v>19098</v>
      </c>
      <c r="N273" s="12" t="s">
        <v>19099</v>
      </c>
    </row>
    <row r="274" spans="1:14">
      <c r="A274" s="12" t="s">
        <v>9632</v>
      </c>
      <c r="B274" s="8">
        <v>323.04551569344699</v>
      </c>
      <c r="C274" s="12">
        <v>981.18973855579395</v>
      </c>
      <c r="D274" s="8">
        <v>-1.6027946974002301</v>
      </c>
      <c r="E274" s="12">
        <v>3.5399528008778702E-4</v>
      </c>
      <c r="F274" s="8" t="s">
        <v>9633</v>
      </c>
      <c r="G274" s="12" t="s">
        <v>19243</v>
      </c>
      <c r="H274" s="12">
        <v>1</v>
      </c>
      <c r="I274" s="13" t="str">
        <f>HYPERLINK("http://www.ncbi.nlm.nih.gov/gene/26807", "26807")</f>
        <v>26807</v>
      </c>
      <c r="J274" s="13" t="str">
        <f>HYPERLINK("http://www.ncbi.nlm.nih.gov/nuccore/NR_002439", "NR_002439")</f>
        <v>NR_002439</v>
      </c>
      <c r="K274" s="12" t="s">
        <v>199</v>
      </c>
      <c r="L274" s="13" t="str">
        <f>HYPERLINK("http://asia.ensembl.org/Homo_sapiens/Gene/Summary?g=ENSG00000263764", "ENSG00000263764")</f>
        <v>ENSG00000263764</v>
      </c>
      <c r="M274" s="12" t="s">
        <v>9634</v>
      </c>
    </row>
    <row r="275" spans="1:14">
      <c r="A275" s="12" t="s">
        <v>5816</v>
      </c>
      <c r="B275" s="8">
        <v>1077.5025254212801</v>
      </c>
      <c r="C275" s="12">
        <v>3270.6989258489998</v>
      </c>
      <c r="D275" s="8">
        <v>-1.6019077120007501</v>
      </c>
      <c r="E275" s="12">
        <v>3.9241386384130297E-3</v>
      </c>
      <c r="F275" s="8" t="s">
        <v>5817</v>
      </c>
      <c r="G275" s="12" t="s">
        <v>5818</v>
      </c>
      <c r="H275" s="12">
        <v>1</v>
      </c>
      <c r="I275" s="13" t="str">
        <f>HYPERLINK("http://www.ncbi.nlm.nih.gov/gene/757", "757")</f>
        <v>757</v>
      </c>
      <c r="J275" s="12" t="s">
        <v>17974</v>
      </c>
      <c r="K275" s="12" t="s">
        <v>17975</v>
      </c>
      <c r="L275" s="13" t="str">
        <f>HYPERLINK("http://asia.ensembl.org/Homo_sapiens/Gene/Summary?g=ENSG00000142188", "ENSG00000142188")</f>
        <v>ENSG00000142188</v>
      </c>
      <c r="M275" s="12" t="s">
        <v>17976</v>
      </c>
      <c r="N275" s="12" t="s">
        <v>17977</v>
      </c>
    </row>
    <row r="276" spans="1:14">
      <c r="A276" s="12" t="s">
        <v>10555</v>
      </c>
      <c r="B276" s="8">
        <v>50</v>
      </c>
      <c r="C276" s="12">
        <v>151.756667531114</v>
      </c>
      <c r="D276" s="8">
        <v>-1.60175990364904</v>
      </c>
      <c r="E276" s="12">
        <v>8.8657635480969497E-5</v>
      </c>
      <c r="F276" s="8" t="s">
        <v>2249</v>
      </c>
      <c r="G276" s="12" t="s">
        <v>2250</v>
      </c>
      <c r="H276" s="12">
        <v>1</v>
      </c>
      <c r="I276" s="13" t="str">
        <f>HYPERLINK("http://www.ncbi.nlm.nih.gov/gene/374864", "374864")</f>
        <v>374864</v>
      </c>
      <c r="J276" s="12" t="s">
        <v>19775</v>
      </c>
      <c r="K276" s="12" t="s">
        <v>19776</v>
      </c>
      <c r="L276" s="13" t="str">
        <f>HYPERLINK("http://asia.ensembl.org/Homo_sapiens/Gene/Summary?g=ENSG00000166960", "ENSG00000166960")</f>
        <v>ENSG00000166960</v>
      </c>
      <c r="M276" s="12" t="s">
        <v>19777</v>
      </c>
      <c r="N276" s="12" t="s">
        <v>19778</v>
      </c>
    </row>
    <row r="277" spans="1:14">
      <c r="A277" s="12" t="s">
        <v>7893</v>
      </c>
      <c r="B277" s="8">
        <v>3290.7889871976199</v>
      </c>
      <c r="C277" s="12">
        <v>9982.6882226485104</v>
      </c>
      <c r="D277" s="8">
        <v>-1.6009948484218499</v>
      </c>
      <c r="E277" s="12">
        <v>1.7553230019908899E-3</v>
      </c>
      <c r="F277" s="8" t="s">
        <v>3944</v>
      </c>
      <c r="G277" s="12" t="s">
        <v>3945</v>
      </c>
      <c r="H277" s="12">
        <v>1</v>
      </c>
      <c r="I277" s="13" t="str">
        <f>HYPERLINK("http://www.ncbi.nlm.nih.gov/gene/79090", "79090")</f>
        <v>79090</v>
      </c>
      <c r="J277" s="12" t="s">
        <v>17490</v>
      </c>
      <c r="K277" s="12" t="s">
        <v>17491</v>
      </c>
      <c r="L277" s="13" t="str">
        <f>HYPERLINK("http://asia.ensembl.org/Homo_sapiens/Gene/Summary?g=ENSG00000007255", "ENSG00000007255")</f>
        <v>ENSG00000007255</v>
      </c>
      <c r="M277" s="12" t="s">
        <v>17492</v>
      </c>
      <c r="N277" s="12" t="s">
        <v>17493</v>
      </c>
    </row>
    <row r="278" spans="1:14">
      <c r="A278" s="12" t="s">
        <v>1662</v>
      </c>
      <c r="B278" s="8">
        <v>5979.11550297949</v>
      </c>
      <c r="C278" s="12">
        <v>18102.506691823299</v>
      </c>
      <c r="D278" s="8">
        <v>-1.5981854982468</v>
      </c>
      <c r="E278" s="12">
        <v>8.4411087257285004E-4</v>
      </c>
      <c r="F278" s="8" t="s">
        <v>1663</v>
      </c>
      <c r="G278" s="12" t="s">
        <v>1664</v>
      </c>
      <c r="H278" s="12">
        <v>1</v>
      </c>
      <c r="I278" s="13" t="str">
        <f>HYPERLINK("http://www.ncbi.nlm.nih.gov/gene/4192", "4192")</f>
        <v>4192</v>
      </c>
      <c r="J278" s="12" t="s">
        <v>16739</v>
      </c>
      <c r="K278" s="12" t="s">
        <v>16740</v>
      </c>
      <c r="L278" s="13" t="str">
        <f>HYPERLINK("http://asia.ensembl.org/Homo_sapiens/Gene/Summary?g=ENSG00000110492", "ENSG00000110492")</f>
        <v>ENSG00000110492</v>
      </c>
      <c r="M278" s="12" t="s">
        <v>16741</v>
      </c>
      <c r="N278" s="12" t="s">
        <v>16742</v>
      </c>
    </row>
    <row r="279" spans="1:14">
      <c r="A279" s="12" t="s">
        <v>8904</v>
      </c>
      <c r="B279" s="8">
        <v>32066.112429479999</v>
      </c>
      <c r="C279" s="12">
        <v>97020.079065555605</v>
      </c>
      <c r="D279" s="8">
        <v>-1.5972338975871401</v>
      </c>
      <c r="E279" s="12">
        <v>8.7033003005630705E-4</v>
      </c>
      <c r="F279" s="8" t="s">
        <v>7182</v>
      </c>
      <c r="G279" s="12" t="s">
        <v>7183</v>
      </c>
      <c r="H279" s="12">
        <v>1</v>
      </c>
      <c r="I279" s="13" t="str">
        <f>HYPERLINK("http://www.ncbi.nlm.nih.gov/gene/7295", "7295")</f>
        <v>7295</v>
      </c>
      <c r="J279" s="12" t="s">
        <v>18402</v>
      </c>
      <c r="K279" s="12" t="s">
        <v>18403</v>
      </c>
      <c r="L279" s="13" t="str">
        <f>HYPERLINK("http://asia.ensembl.org/Homo_sapiens/Gene/Summary?g=ENSG00000136810", "ENSG00000136810")</f>
        <v>ENSG00000136810</v>
      </c>
      <c r="M279" s="12" t="s">
        <v>18404</v>
      </c>
      <c r="N279" s="12" t="s">
        <v>18405</v>
      </c>
    </row>
    <row r="280" spans="1:14">
      <c r="A280" s="12" t="s">
        <v>11396</v>
      </c>
      <c r="B280" s="8">
        <v>15660.3833244096</v>
      </c>
      <c r="C280" s="12">
        <v>47379.853260652599</v>
      </c>
      <c r="D280" s="8">
        <v>-1.5971542040511399</v>
      </c>
      <c r="E280" s="12">
        <v>5.1623151612544497E-3</v>
      </c>
      <c r="F280" s="8" t="s">
        <v>1868</v>
      </c>
      <c r="G280" s="12" t="s">
        <v>16813</v>
      </c>
      <c r="H280" s="12">
        <v>4</v>
      </c>
      <c r="I280" s="12" t="s">
        <v>1869</v>
      </c>
      <c r="J280" s="12" t="s">
        <v>16814</v>
      </c>
      <c r="K280" s="12" t="s">
        <v>16815</v>
      </c>
      <c r="L280" s="13" t="str">
        <f>HYPERLINK("http://asia.ensembl.org/Homo_sapiens/Gene/Summary?g=ENSG00000135441", "ENSG00000135441")</f>
        <v>ENSG00000135441</v>
      </c>
      <c r="M280" s="12" t="s">
        <v>16816</v>
      </c>
      <c r="N280" s="12" t="s">
        <v>16817</v>
      </c>
    </row>
    <row r="281" spans="1:14">
      <c r="A281" s="12" t="s">
        <v>3066</v>
      </c>
      <c r="B281" s="8">
        <v>1557.2659928140599</v>
      </c>
      <c r="C281" s="12">
        <v>4708.0550658039401</v>
      </c>
      <c r="D281" s="8">
        <v>-1.5961158056628899</v>
      </c>
      <c r="E281" s="12">
        <v>3.7657535528695798E-4</v>
      </c>
      <c r="F281" s="8" t="s">
        <v>3067</v>
      </c>
      <c r="G281" s="12" t="s">
        <v>3068</v>
      </c>
      <c r="H281" s="12">
        <v>1</v>
      </c>
      <c r="I281" s="13" t="str">
        <f>HYPERLINK("http://www.ncbi.nlm.nih.gov/gene/57447", "57447")</f>
        <v>57447</v>
      </c>
      <c r="J281" s="12" t="s">
        <v>17194</v>
      </c>
      <c r="K281" s="12" t="s">
        <v>17195</v>
      </c>
      <c r="L281" s="13" t="str">
        <f>HYPERLINK("http://asia.ensembl.org/Homo_sapiens/Gene/Summary?g=ENSG00000165795", "ENSG00000165795")</f>
        <v>ENSG00000165795</v>
      </c>
      <c r="M281" s="12" t="s">
        <v>17196</v>
      </c>
      <c r="N281" s="12" t="s">
        <v>17197</v>
      </c>
    </row>
    <row r="282" spans="1:14">
      <c r="A282" s="12" t="s">
        <v>2544</v>
      </c>
      <c r="B282" s="8">
        <v>11399.0772846783</v>
      </c>
      <c r="C282" s="12">
        <v>34421.364522511103</v>
      </c>
      <c r="D282" s="8">
        <v>-1.5943872414287901</v>
      </c>
      <c r="E282" s="12">
        <v>8.6445850065759798E-4</v>
      </c>
      <c r="F282" s="8" t="s">
        <v>2545</v>
      </c>
      <c r="G282" s="12" t="s">
        <v>286</v>
      </c>
      <c r="H282" s="12">
        <v>1</v>
      </c>
      <c r="I282" s="13" t="str">
        <f>HYPERLINK("http://www.ncbi.nlm.nih.gov/gene/4695", "4695")</f>
        <v>4695</v>
      </c>
      <c r="J282" s="12" t="s">
        <v>17029</v>
      </c>
      <c r="K282" s="12" t="s">
        <v>17030</v>
      </c>
      <c r="L282" s="13" t="str">
        <f>HYPERLINK("http://asia.ensembl.org/Homo_sapiens/Gene/Summary?g=ENSG00000131495", "ENSG00000131495")</f>
        <v>ENSG00000131495</v>
      </c>
      <c r="M282" s="12" t="s">
        <v>17031</v>
      </c>
      <c r="N282" s="12" t="s">
        <v>17032</v>
      </c>
    </row>
    <row r="283" spans="1:14">
      <c r="A283" s="12" t="s">
        <v>11552</v>
      </c>
      <c r="B283" s="8">
        <v>718.36835303912699</v>
      </c>
      <c r="C283" s="12">
        <v>2167.6409964090299</v>
      </c>
      <c r="D283" s="8">
        <v>-1.5933301378809901</v>
      </c>
      <c r="E283" s="12">
        <v>2.6740056254497001E-2</v>
      </c>
      <c r="F283" s="8" t="s">
        <v>11553</v>
      </c>
      <c r="G283" s="12" t="s">
        <v>11554</v>
      </c>
      <c r="H283" s="12">
        <v>1</v>
      </c>
      <c r="I283" s="13" t="str">
        <f>HYPERLINK("http://www.ncbi.nlm.nih.gov/gene/101927423", "101927423")</f>
        <v>101927423</v>
      </c>
      <c r="J283" s="13" t="str">
        <f>HYPERLINK("http://www.ncbi.nlm.nih.gov/nuccore/NM_001293167", "NM_001293167")</f>
        <v>NM_001293167</v>
      </c>
      <c r="K283" s="12" t="s">
        <v>11555</v>
      </c>
      <c r="L283" s="13" t="str">
        <f>HYPERLINK("http://asia.ensembl.org/Homo_sapiens/Gene/Summary?g=ENSG00000274897", "ENSG00000274897")</f>
        <v>ENSG00000274897</v>
      </c>
      <c r="M283" s="12" t="s">
        <v>11556</v>
      </c>
      <c r="N283" s="12" t="s">
        <v>11557</v>
      </c>
    </row>
    <row r="284" spans="1:14">
      <c r="A284" s="12" t="s">
        <v>9484</v>
      </c>
      <c r="B284" s="8">
        <v>112.386253833949</v>
      </c>
      <c r="C284" s="12">
        <v>338.94236057170201</v>
      </c>
      <c r="D284" s="8">
        <v>-1.5925743665155101</v>
      </c>
      <c r="E284" s="12">
        <v>4.4965480881163202E-3</v>
      </c>
      <c r="F284" s="8" t="s">
        <v>9485</v>
      </c>
      <c r="G284" s="12" t="s">
        <v>19169</v>
      </c>
      <c r="H284" s="12">
        <v>1</v>
      </c>
      <c r="I284" s="13" t="str">
        <f>HYPERLINK("http://www.ncbi.nlm.nih.gov/gene/5028", "5028")</f>
        <v>5028</v>
      </c>
      <c r="J284" s="13" t="str">
        <f>HYPERLINK("http://www.ncbi.nlm.nih.gov/nuccore/NM_002563", "NM_002563")</f>
        <v>NM_002563</v>
      </c>
      <c r="K284" s="12" t="s">
        <v>9486</v>
      </c>
      <c r="L284" s="13" t="str">
        <f>HYPERLINK("http://asia.ensembl.org/Homo_sapiens/Gene/Summary?g=ENSG00000169860", "ENSG00000169860")</f>
        <v>ENSG00000169860</v>
      </c>
      <c r="M284" s="12" t="s">
        <v>9487</v>
      </c>
      <c r="N284" s="12" t="s">
        <v>9488</v>
      </c>
    </row>
    <row r="285" spans="1:14">
      <c r="A285" s="12" t="s">
        <v>2969</v>
      </c>
      <c r="B285" s="8">
        <v>1114.7662574521601</v>
      </c>
      <c r="C285" s="12">
        <v>3359.9081423908701</v>
      </c>
      <c r="D285" s="8">
        <v>-1.5916805515567001</v>
      </c>
      <c r="E285" s="12">
        <v>1.33803329064893E-3</v>
      </c>
      <c r="F285" s="8" t="s">
        <v>2970</v>
      </c>
      <c r="G285" s="12" t="s">
        <v>2971</v>
      </c>
      <c r="H285" s="12">
        <v>1</v>
      </c>
      <c r="I285" s="13" t="str">
        <f>HYPERLINK("http://www.ncbi.nlm.nih.gov/gene/100507670", "100507670")</f>
        <v>100507670</v>
      </c>
      <c r="J285" s="12" t="s">
        <v>17156</v>
      </c>
      <c r="K285" s="12" t="s">
        <v>13129</v>
      </c>
      <c r="L285" s="12" t="s">
        <v>38</v>
      </c>
      <c r="M285" s="12" t="s">
        <v>38</v>
      </c>
      <c r="N285" s="12" t="s">
        <v>38</v>
      </c>
    </row>
    <row r="286" spans="1:14">
      <c r="A286" s="12" t="s">
        <v>11143</v>
      </c>
      <c r="B286" s="8">
        <v>312.10219088256599</v>
      </c>
      <c r="C286" s="12">
        <v>940.32117013487198</v>
      </c>
      <c r="D286" s="8">
        <v>-1.59113511406288</v>
      </c>
      <c r="E286" s="12">
        <v>8.1899008547547496E-3</v>
      </c>
      <c r="F286" s="8" t="s">
        <v>38</v>
      </c>
      <c r="G286" s="12" t="s">
        <v>38</v>
      </c>
      <c r="H286" s="12">
        <v>1</v>
      </c>
      <c r="I286" s="12" t="s">
        <v>38</v>
      </c>
      <c r="J286" s="12" t="s">
        <v>38</v>
      </c>
      <c r="K286" s="12" t="s">
        <v>38</v>
      </c>
      <c r="L286" s="13" t="str">
        <f>HYPERLINK("http://asia.ensembl.org/Homo_sapiens/Gene/Summary?g=ENSG00000132164", "ENSG00000132164")</f>
        <v>ENSG00000132164</v>
      </c>
      <c r="M286" s="12" t="s">
        <v>11144</v>
      </c>
      <c r="N286" s="12" t="s">
        <v>19995</v>
      </c>
    </row>
    <row r="287" spans="1:14">
      <c r="A287" s="12" t="s">
        <v>11787</v>
      </c>
      <c r="B287" s="8">
        <v>266.10278835904501</v>
      </c>
      <c r="C287" s="12">
        <v>801.41067368800304</v>
      </c>
      <c r="D287" s="8">
        <v>-1.5905580968858699</v>
      </c>
      <c r="E287" s="12">
        <v>1.1299203061699299E-2</v>
      </c>
      <c r="F287" s="8" t="s">
        <v>11788</v>
      </c>
      <c r="G287" s="12" t="s">
        <v>20207</v>
      </c>
      <c r="H287" s="12">
        <v>1</v>
      </c>
      <c r="I287" s="13" t="str">
        <f>HYPERLINK("http://www.ncbi.nlm.nih.gov/gene/2741", "2741")</f>
        <v>2741</v>
      </c>
      <c r="J287" s="12" t="s">
        <v>20208</v>
      </c>
      <c r="K287" s="12" t="s">
        <v>20209</v>
      </c>
      <c r="L287" s="13" t="str">
        <f>HYPERLINK("http://asia.ensembl.org/Homo_sapiens/Gene/Summary?g=ENSG00000145888", "ENSG00000145888")</f>
        <v>ENSG00000145888</v>
      </c>
      <c r="M287" s="12" t="s">
        <v>20210</v>
      </c>
      <c r="N287" s="12" t="s">
        <v>20211</v>
      </c>
    </row>
    <row r="288" spans="1:14">
      <c r="A288" s="12" t="s">
        <v>3806</v>
      </c>
      <c r="B288" s="8">
        <v>1827.34494231238</v>
      </c>
      <c r="C288" s="12">
        <v>5493.2077900013801</v>
      </c>
      <c r="D288" s="8">
        <v>-1.58789987250159</v>
      </c>
      <c r="E288" s="12">
        <v>4.6204078784204799E-4</v>
      </c>
      <c r="F288" s="8" t="s">
        <v>3807</v>
      </c>
      <c r="G288" s="12" t="s">
        <v>3808</v>
      </c>
      <c r="H288" s="12">
        <v>1</v>
      </c>
      <c r="I288" s="13" t="str">
        <f>HYPERLINK("http://www.ncbi.nlm.nih.gov/gene/85014", "85014")</f>
        <v>85014</v>
      </c>
      <c r="J288" s="13" t="str">
        <f>HYPERLINK("http://www.ncbi.nlm.nih.gov/nuccore/NM_032928", "NM_032928")</f>
        <v>NM_032928</v>
      </c>
      <c r="K288" s="12" t="s">
        <v>3809</v>
      </c>
      <c r="L288" s="13" t="str">
        <f>HYPERLINK("http://asia.ensembl.org/Homo_sapiens/Gene/Summary?g=ENSG00000244187", "ENSG00000244187")</f>
        <v>ENSG00000244187</v>
      </c>
      <c r="M288" s="12" t="s">
        <v>17430</v>
      </c>
      <c r="N288" s="12" t="s">
        <v>3810</v>
      </c>
    </row>
    <row r="289" spans="1:14">
      <c r="A289" s="12" t="s">
        <v>10299</v>
      </c>
      <c r="B289" s="8">
        <v>6466.98221286637</v>
      </c>
      <c r="C289" s="12">
        <v>19436.391765189801</v>
      </c>
      <c r="D289" s="8">
        <v>-1.5875958697755601</v>
      </c>
      <c r="E289" s="12">
        <v>9.1545910203389195E-4</v>
      </c>
      <c r="F289" s="8" t="s">
        <v>2079</v>
      </c>
      <c r="G289" s="12" t="s">
        <v>2080</v>
      </c>
      <c r="H289" s="12">
        <v>1</v>
      </c>
      <c r="I289" s="13" t="str">
        <f>HYPERLINK("http://www.ncbi.nlm.nih.gov/gene/10591", "10591")</f>
        <v>10591</v>
      </c>
      <c r="J289" s="12" t="s">
        <v>19658</v>
      </c>
      <c r="K289" s="12" t="s">
        <v>19659</v>
      </c>
      <c r="L289" s="13" t="str">
        <f>HYPERLINK("http://asia.ensembl.org/Homo_sapiens/Gene/Summary?g=ENSG00000112667", "ENSG00000112667")</f>
        <v>ENSG00000112667</v>
      </c>
      <c r="M289" s="12" t="s">
        <v>19660</v>
      </c>
      <c r="N289" s="12" t="s">
        <v>19661</v>
      </c>
    </row>
    <row r="290" spans="1:14">
      <c r="A290" s="12" t="s">
        <v>8205</v>
      </c>
      <c r="B290" s="8">
        <v>50.430320201134698</v>
      </c>
      <c r="C290" s="12">
        <v>151.49142666132499</v>
      </c>
      <c r="D290" s="8">
        <v>-1.5868728590646499</v>
      </c>
      <c r="E290" s="12">
        <v>3.6648523945903802E-2</v>
      </c>
      <c r="F290" s="8" t="s">
        <v>8206</v>
      </c>
      <c r="G290" s="12" t="s">
        <v>18743</v>
      </c>
      <c r="H290" s="12">
        <v>1</v>
      </c>
      <c r="I290" s="13" t="str">
        <f>HYPERLINK("http://www.ncbi.nlm.nih.gov/gene/4994", "4994")</f>
        <v>4994</v>
      </c>
      <c r="J290" s="13" t="str">
        <f>HYPERLINK("http://www.ncbi.nlm.nih.gov/nuccore/NM_002550", "NM_002550")</f>
        <v>NM_002550</v>
      </c>
      <c r="K290" s="12" t="s">
        <v>8207</v>
      </c>
      <c r="L290" s="13" t="str">
        <f>HYPERLINK("http://asia.ensembl.org/Homo_sapiens/Gene/Summary?g=ENSG00000180090", "ENSG00000180090")</f>
        <v>ENSG00000180090</v>
      </c>
      <c r="M290" s="12" t="s">
        <v>18744</v>
      </c>
      <c r="N290" s="12" t="s">
        <v>18745</v>
      </c>
    </row>
    <row r="291" spans="1:14">
      <c r="A291" s="12" t="s">
        <v>11327</v>
      </c>
      <c r="B291" s="8">
        <v>233.156606007882</v>
      </c>
      <c r="C291" s="12">
        <v>700.39042614410005</v>
      </c>
      <c r="D291" s="8">
        <v>-1.58686005723366</v>
      </c>
      <c r="E291" s="12">
        <v>1.0144083197586801E-3</v>
      </c>
      <c r="F291" s="8" t="s">
        <v>11328</v>
      </c>
      <c r="G291" s="12" t="s">
        <v>20072</v>
      </c>
      <c r="H291" s="12">
        <v>4</v>
      </c>
      <c r="I291" s="12" t="s">
        <v>11329</v>
      </c>
      <c r="J291" s="12" t="s">
        <v>11330</v>
      </c>
      <c r="K291" s="12" t="s">
        <v>11331</v>
      </c>
      <c r="L291" s="12" t="s">
        <v>11332</v>
      </c>
      <c r="M291" s="12" t="s">
        <v>20073</v>
      </c>
      <c r="N291" s="12" t="s">
        <v>20074</v>
      </c>
    </row>
    <row r="292" spans="1:14">
      <c r="A292" s="12" t="s">
        <v>3745</v>
      </c>
      <c r="B292" s="8">
        <v>223.04186449133601</v>
      </c>
      <c r="C292" s="12">
        <v>670.00425648596502</v>
      </c>
      <c r="D292" s="8">
        <v>-1.5868557345280501</v>
      </c>
      <c r="E292" s="12">
        <v>4.8868372415998E-2</v>
      </c>
      <c r="F292" s="8" t="s">
        <v>3746</v>
      </c>
      <c r="G292" s="12" t="s">
        <v>3747</v>
      </c>
      <c r="H292" s="12">
        <v>1</v>
      </c>
      <c r="I292" s="13" t="str">
        <f>HYPERLINK("http://www.ncbi.nlm.nih.gov/gene/200261", "200261")</f>
        <v>200261</v>
      </c>
      <c r="J292" s="13" t="str">
        <f>HYPERLINK("http://www.ncbi.nlm.nih.gov/nuccore/NR_034149", "NR_034149")</f>
        <v>NR_034149</v>
      </c>
      <c r="K292" s="12" t="s">
        <v>199</v>
      </c>
      <c r="L292" s="13" t="str">
        <f>HYPERLINK("http://asia.ensembl.org/Homo_sapiens/Gene/Summary?g=ENSG00000233746", "ENSG00000233746")</f>
        <v>ENSG00000233746</v>
      </c>
      <c r="M292" s="12" t="s">
        <v>3748</v>
      </c>
    </row>
    <row r="293" spans="1:14">
      <c r="A293" s="12" t="s">
        <v>8204</v>
      </c>
      <c r="B293" s="8">
        <v>514.65769586939496</v>
      </c>
      <c r="C293" s="12">
        <v>1545.7666391186301</v>
      </c>
      <c r="D293" s="8">
        <v>-1.58663743025516</v>
      </c>
      <c r="E293" s="12">
        <v>2.8917140259927601E-3</v>
      </c>
      <c r="F293" s="8" t="s">
        <v>3049</v>
      </c>
      <c r="G293" s="12" t="s">
        <v>17187</v>
      </c>
      <c r="H293" s="12">
        <v>1</v>
      </c>
      <c r="I293" s="13" t="str">
        <f>HYPERLINK("http://www.ncbi.nlm.nih.gov/gene/8367", "8367")</f>
        <v>8367</v>
      </c>
      <c r="J293" s="13" t="str">
        <f>HYPERLINK("http://www.ncbi.nlm.nih.gov/nuccore/NM_003545", "NM_003545")</f>
        <v>NM_003545</v>
      </c>
      <c r="K293" s="12" t="s">
        <v>3050</v>
      </c>
      <c r="L293" s="13" t="str">
        <f>HYPERLINK("http://asia.ensembl.org/Homo_sapiens/Gene/Summary?g=ENSG00000276966", "ENSG00000276966")</f>
        <v>ENSG00000276966</v>
      </c>
      <c r="M293" s="12" t="s">
        <v>3051</v>
      </c>
      <c r="N293" s="12" t="s">
        <v>3052</v>
      </c>
    </row>
    <row r="294" spans="1:14">
      <c r="A294" s="12" t="s">
        <v>9921</v>
      </c>
      <c r="B294" s="8">
        <v>15338.144053715099</v>
      </c>
      <c r="C294" s="12">
        <v>46067.581640763397</v>
      </c>
      <c r="D294" s="8">
        <v>-1.58662793995343</v>
      </c>
      <c r="E294" s="12">
        <v>6.9996058190132401E-4</v>
      </c>
      <c r="F294" s="8" t="s">
        <v>1659</v>
      </c>
      <c r="G294" s="12" t="s">
        <v>1660</v>
      </c>
      <c r="H294" s="12">
        <v>1</v>
      </c>
      <c r="I294" s="13" t="str">
        <f>HYPERLINK("http://www.ncbi.nlm.nih.gov/gene/9768", "9768")</f>
        <v>9768</v>
      </c>
      <c r="J294" s="13" t="str">
        <f>HYPERLINK("http://www.ncbi.nlm.nih.gov/nuccore/NM_001029989", "NM_001029989")</f>
        <v>NM_001029989</v>
      </c>
      <c r="K294" s="12" t="s">
        <v>9922</v>
      </c>
      <c r="L294" s="13" t="str">
        <f>HYPERLINK("http://asia.ensembl.org/Homo_sapiens/Gene/Summary?g=ENSG00000166803", "ENSG00000166803")</f>
        <v>ENSG00000166803</v>
      </c>
      <c r="M294" s="12" t="s">
        <v>16737</v>
      </c>
      <c r="N294" s="12" t="s">
        <v>16738</v>
      </c>
    </row>
    <row r="295" spans="1:14">
      <c r="A295" s="12" t="s">
        <v>10619</v>
      </c>
      <c r="B295" s="8">
        <v>591.37696399529</v>
      </c>
      <c r="C295" s="12">
        <v>1776.0348309000999</v>
      </c>
      <c r="D295" s="8">
        <v>-1.5865099234092599</v>
      </c>
      <c r="E295" s="12">
        <v>1.9530634134212401E-3</v>
      </c>
      <c r="F295" s="8" t="s">
        <v>6517</v>
      </c>
      <c r="G295" s="12" t="s">
        <v>6518</v>
      </c>
      <c r="H295" s="12">
        <v>1</v>
      </c>
      <c r="I295" s="13" t="str">
        <f>HYPERLINK("http://www.ncbi.nlm.nih.gov/gene/1311", "1311")</f>
        <v>1311</v>
      </c>
      <c r="J295" s="13" t="str">
        <f>HYPERLINK("http://www.ncbi.nlm.nih.gov/nuccore/NM_000095", "NM_000095")</f>
        <v>NM_000095</v>
      </c>
      <c r="K295" s="12" t="s">
        <v>6519</v>
      </c>
      <c r="L295" s="13" t="str">
        <f>HYPERLINK("http://asia.ensembl.org/Homo_sapiens/Gene/Summary?g=ENSG00000105664", "ENSG00000105664")</f>
        <v>ENSG00000105664</v>
      </c>
      <c r="M295" s="12" t="s">
        <v>19804</v>
      </c>
      <c r="N295" s="12" t="s">
        <v>19805</v>
      </c>
    </row>
    <row r="296" spans="1:14">
      <c r="A296" s="12" t="s">
        <v>4963</v>
      </c>
      <c r="B296" s="8">
        <v>2132.7300230546998</v>
      </c>
      <c r="C296" s="12">
        <v>6403.7221700201699</v>
      </c>
      <c r="D296" s="8">
        <v>-1.5862093667859201</v>
      </c>
      <c r="E296" s="12">
        <v>2.2738823109220898E-3</v>
      </c>
      <c r="F296" s="8" t="s">
        <v>4964</v>
      </c>
      <c r="G296" s="12" t="s">
        <v>4965</v>
      </c>
      <c r="H296" s="12">
        <v>1</v>
      </c>
      <c r="I296" s="13" t="str">
        <f>HYPERLINK("http://www.ncbi.nlm.nih.gov/gene/23016", "23016")</f>
        <v>23016</v>
      </c>
      <c r="J296" s="13" t="str">
        <f>HYPERLINK("http://www.ncbi.nlm.nih.gov/nuccore/NM_015004", "NM_015004")</f>
        <v>NM_015004</v>
      </c>
      <c r="K296" s="12" t="s">
        <v>4966</v>
      </c>
      <c r="L296" s="13" t="str">
        <f>HYPERLINK("http://asia.ensembl.org/Homo_sapiens/Gene/Summary?g=ENSG00000075914", "ENSG00000075914")</f>
        <v>ENSG00000075914</v>
      </c>
      <c r="M296" s="12" t="s">
        <v>17771</v>
      </c>
      <c r="N296" s="12" t="s">
        <v>4967</v>
      </c>
    </row>
    <row r="297" spans="1:14">
      <c r="A297" s="12" t="s">
        <v>11499</v>
      </c>
      <c r="B297" s="8">
        <v>119.997249013233</v>
      </c>
      <c r="C297" s="12">
        <v>359.51356114027902</v>
      </c>
      <c r="D297" s="8">
        <v>-1.5830448594766799</v>
      </c>
      <c r="E297" s="12">
        <v>2.3411045432482899E-2</v>
      </c>
      <c r="F297" s="8" t="s">
        <v>11500</v>
      </c>
      <c r="G297" s="12" t="s">
        <v>11501</v>
      </c>
      <c r="H297" s="12">
        <v>1</v>
      </c>
      <c r="I297" s="13" t="str">
        <f>HYPERLINK("http://www.ncbi.nlm.nih.gov/gene/100652883", "100652883")</f>
        <v>100652883</v>
      </c>
      <c r="J297" s="13" t="str">
        <f>HYPERLINK("http://www.ncbi.nlm.nih.gov/nuccore/NR_045985", "NR_045985")</f>
        <v>NR_045985</v>
      </c>
      <c r="K297" s="12" t="s">
        <v>199</v>
      </c>
      <c r="L297" s="12" t="s">
        <v>38</v>
      </c>
      <c r="M297" s="12" t="s">
        <v>38</v>
      </c>
      <c r="N297" s="12" t="s">
        <v>38</v>
      </c>
    </row>
    <row r="298" spans="1:14">
      <c r="A298" s="12" t="s">
        <v>4085</v>
      </c>
      <c r="B298" s="8">
        <v>1008.48660625666</v>
      </c>
      <c r="C298" s="12">
        <v>3020.85063557079</v>
      </c>
      <c r="D298" s="8">
        <v>-1.5827629289054801</v>
      </c>
      <c r="E298" s="12">
        <v>2.0333003933846999E-3</v>
      </c>
      <c r="F298" s="8" t="s">
        <v>4086</v>
      </c>
      <c r="G298" s="12" t="s">
        <v>4087</v>
      </c>
      <c r="H298" s="12">
        <v>1</v>
      </c>
      <c r="I298" s="13" t="str">
        <f>HYPERLINK("http://www.ncbi.nlm.nih.gov/gene/126123", "126123")</f>
        <v>126123</v>
      </c>
      <c r="J298" s="13" t="str">
        <f>HYPERLINK("http://www.ncbi.nlm.nih.gov/nuccore/NM_152358", "NM_152358")</f>
        <v>NM_152358</v>
      </c>
      <c r="K298" s="12" t="s">
        <v>4088</v>
      </c>
      <c r="L298" s="13" t="str">
        <f>HYPERLINK("http://asia.ensembl.org/Homo_sapiens/Gene/Summary?g=ENSG00000161652", "ENSG00000161652")</f>
        <v>ENSG00000161652</v>
      </c>
      <c r="M298" s="12" t="s">
        <v>17547</v>
      </c>
      <c r="N298" s="12" t="s">
        <v>17548</v>
      </c>
    </row>
    <row r="299" spans="1:14">
      <c r="A299" s="12" t="s">
        <v>3937</v>
      </c>
      <c r="B299" s="8">
        <v>3814.4966464845302</v>
      </c>
      <c r="C299" s="12">
        <v>11411.349464213799</v>
      </c>
      <c r="D299" s="8">
        <v>-1.58090481000731</v>
      </c>
      <c r="E299" s="12">
        <v>2.43487523336159E-3</v>
      </c>
      <c r="F299" s="8" t="s">
        <v>3938</v>
      </c>
      <c r="G299" s="12" t="s">
        <v>3939</v>
      </c>
      <c r="H299" s="12">
        <v>1</v>
      </c>
      <c r="I299" s="13" t="str">
        <f>HYPERLINK("http://www.ncbi.nlm.nih.gov/gene/221491", "221491")</f>
        <v>221491</v>
      </c>
      <c r="J299" s="12" t="s">
        <v>17482</v>
      </c>
      <c r="K299" s="12" t="s">
        <v>17483</v>
      </c>
      <c r="L299" s="13" t="str">
        <f>HYPERLINK("http://asia.ensembl.org/Homo_sapiens/Gene/Summary?g=ENSG00000186577", "ENSG00000186577")</f>
        <v>ENSG00000186577</v>
      </c>
      <c r="M299" s="12" t="s">
        <v>17484</v>
      </c>
      <c r="N299" s="12" t="s">
        <v>17485</v>
      </c>
    </row>
    <row r="300" spans="1:14">
      <c r="A300" s="12" t="s">
        <v>804</v>
      </c>
      <c r="B300" s="8">
        <v>2892.2705387788401</v>
      </c>
      <c r="C300" s="12">
        <v>8649.8143709383403</v>
      </c>
      <c r="D300" s="8">
        <v>-1.5804666659750199</v>
      </c>
      <c r="E300" s="12">
        <v>4.3557924559160296E-3</v>
      </c>
      <c r="F300" s="8" t="s">
        <v>805</v>
      </c>
      <c r="G300" s="12" t="s">
        <v>319</v>
      </c>
      <c r="H300" s="12">
        <v>1</v>
      </c>
      <c r="I300" s="13" t="str">
        <f>HYPERLINK("http://www.ncbi.nlm.nih.gov/gene/55701", "55701")</f>
        <v>55701</v>
      </c>
      <c r="J300" s="13" t="str">
        <f>HYPERLINK("http://www.ncbi.nlm.nih.gov/nuccore/NM_018071", "NM_018071")</f>
        <v>NM_018071</v>
      </c>
      <c r="K300" s="12" t="s">
        <v>806</v>
      </c>
      <c r="L300" s="13" t="str">
        <f>HYPERLINK("http://asia.ensembl.org/Homo_sapiens/Gene/Summary?g=ENSG00000165801", "ENSG00000165801")</f>
        <v>ENSG00000165801</v>
      </c>
      <c r="M300" s="12" t="s">
        <v>16446</v>
      </c>
      <c r="N300" s="12" t="s">
        <v>16447</v>
      </c>
    </row>
    <row r="301" spans="1:14">
      <c r="A301" s="12" t="s">
        <v>6995</v>
      </c>
      <c r="B301" s="8">
        <v>2586.5096893617701</v>
      </c>
      <c r="C301" s="12">
        <v>7734.3253627716504</v>
      </c>
      <c r="D301" s="8">
        <v>-1.58026886003898</v>
      </c>
      <c r="E301" s="12">
        <v>1.1939670038826099E-3</v>
      </c>
      <c r="F301" s="8" t="s">
        <v>6996</v>
      </c>
      <c r="G301" s="12" t="s">
        <v>6997</v>
      </c>
      <c r="H301" s="12">
        <v>1</v>
      </c>
      <c r="I301" s="13" t="str">
        <f>HYPERLINK("http://www.ncbi.nlm.nih.gov/gene/6835", "6835")</f>
        <v>6835</v>
      </c>
      <c r="J301" s="13" t="str">
        <f>HYPERLINK("http://www.ncbi.nlm.nih.gov/nuccore/NM_017503", "NM_017503")</f>
        <v>NM_017503</v>
      </c>
      <c r="K301" s="12" t="s">
        <v>6998</v>
      </c>
      <c r="L301" s="13" t="str">
        <f>HYPERLINK("http://asia.ensembl.org/Homo_sapiens/Gene/Summary?g=ENSG00000148291", "ENSG00000148291")</f>
        <v>ENSG00000148291</v>
      </c>
      <c r="M301" s="12" t="s">
        <v>18330</v>
      </c>
      <c r="N301" s="12" t="s">
        <v>6999</v>
      </c>
    </row>
    <row r="302" spans="1:14">
      <c r="A302" s="12" t="s">
        <v>2378</v>
      </c>
      <c r="B302" s="8">
        <v>287.99657380214501</v>
      </c>
      <c r="C302" s="12">
        <v>860.99963719448897</v>
      </c>
      <c r="D302" s="8">
        <v>-1.5799609811890101</v>
      </c>
      <c r="E302" s="12">
        <v>3.4298337665806199E-3</v>
      </c>
      <c r="F302" s="8" t="s">
        <v>2379</v>
      </c>
      <c r="G302" s="12" t="s">
        <v>2380</v>
      </c>
      <c r="H302" s="12">
        <v>1</v>
      </c>
      <c r="I302" s="13" t="str">
        <f>HYPERLINK("http://www.ncbi.nlm.nih.gov/gene/27232", "27232")</f>
        <v>27232</v>
      </c>
      <c r="J302" s="13" t="str">
        <f>HYPERLINK("http://www.ncbi.nlm.nih.gov/nuccore/NM_018960", "NM_018960")</f>
        <v>NM_018960</v>
      </c>
      <c r="K302" s="12" t="s">
        <v>2381</v>
      </c>
      <c r="L302" s="13" t="str">
        <f>HYPERLINK("http://asia.ensembl.org/Homo_sapiens/Gene/Summary?g=ENSG00000124713", "ENSG00000124713")</f>
        <v>ENSG00000124713</v>
      </c>
      <c r="M302" s="12" t="s">
        <v>2382</v>
      </c>
      <c r="N302" s="12" t="s">
        <v>2383</v>
      </c>
    </row>
    <row r="303" spans="1:14">
      <c r="A303" s="12" t="s">
        <v>8069</v>
      </c>
      <c r="B303" s="8">
        <v>83786.425889531602</v>
      </c>
      <c r="C303" s="12">
        <v>250131.965034922</v>
      </c>
      <c r="D303" s="8">
        <v>-1.57790099601488</v>
      </c>
      <c r="E303" s="12">
        <v>9.7299259062898604E-4</v>
      </c>
      <c r="F303" s="8" t="s">
        <v>8070</v>
      </c>
      <c r="G303" s="12" t="s">
        <v>8071</v>
      </c>
      <c r="H303" s="12">
        <v>1</v>
      </c>
      <c r="I303" s="13" t="str">
        <f>HYPERLINK("http://www.ncbi.nlm.nih.gov/gene/23521", "23521")</f>
        <v>23521</v>
      </c>
      <c r="J303" s="12" t="s">
        <v>18715</v>
      </c>
      <c r="K303" s="12" t="s">
        <v>18716</v>
      </c>
      <c r="L303" s="13" t="str">
        <f>HYPERLINK("http://asia.ensembl.org/Homo_sapiens/Gene/Summary?g=ENSG00000142541", "ENSG00000142541")</f>
        <v>ENSG00000142541</v>
      </c>
      <c r="M303" s="12" t="s">
        <v>18717</v>
      </c>
      <c r="N303" s="12" t="s">
        <v>18718</v>
      </c>
    </row>
    <row r="304" spans="1:14">
      <c r="A304" s="12" t="s">
        <v>7877</v>
      </c>
      <c r="B304" s="8">
        <v>5414.4238543726597</v>
      </c>
      <c r="C304" s="12">
        <v>16160.8466340047</v>
      </c>
      <c r="D304" s="8">
        <v>-1.57762304514824</v>
      </c>
      <c r="E304" s="12">
        <v>1.0139567407052199E-3</v>
      </c>
      <c r="F304" s="8" t="s">
        <v>3938</v>
      </c>
      <c r="G304" s="12" t="s">
        <v>3939</v>
      </c>
      <c r="H304" s="12">
        <v>1</v>
      </c>
      <c r="I304" s="13" t="str">
        <f>HYPERLINK("http://www.ncbi.nlm.nih.gov/gene/221491", "221491")</f>
        <v>221491</v>
      </c>
      <c r="J304" s="12" t="s">
        <v>17482</v>
      </c>
      <c r="K304" s="12" t="s">
        <v>17483</v>
      </c>
      <c r="L304" s="13" t="str">
        <f>HYPERLINK("http://asia.ensembl.org/Homo_sapiens/Gene/Summary?g=ENSG00000186577", "ENSG00000186577")</f>
        <v>ENSG00000186577</v>
      </c>
      <c r="M304" s="12" t="s">
        <v>17484</v>
      </c>
      <c r="N304" s="12" t="s">
        <v>17485</v>
      </c>
    </row>
    <row r="305" spans="1:14">
      <c r="A305" s="12" t="s">
        <v>166</v>
      </c>
      <c r="B305" s="8">
        <v>248.89843168835401</v>
      </c>
      <c r="C305" s="12">
        <v>742.87185098747102</v>
      </c>
      <c r="D305" s="8">
        <v>-1.57755622039496</v>
      </c>
      <c r="E305" s="12">
        <v>5.9885134004620698E-4</v>
      </c>
      <c r="F305" s="8" t="s">
        <v>167</v>
      </c>
      <c r="G305" s="12" t="s">
        <v>168</v>
      </c>
      <c r="H305" s="12">
        <v>1</v>
      </c>
      <c r="I305" s="13" t="str">
        <f>HYPERLINK("http://www.ncbi.nlm.nih.gov/gene/6447", "6447")</f>
        <v>6447</v>
      </c>
      <c r="J305" s="12" t="s">
        <v>16268</v>
      </c>
      <c r="K305" s="12" t="s">
        <v>16269</v>
      </c>
      <c r="L305" s="13" t="str">
        <f>HYPERLINK("http://asia.ensembl.org/Homo_sapiens/Gene/Summary?g=ENSG00000281931", "ENSG00000281931")</f>
        <v>ENSG00000281931</v>
      </c>
      <c r="M305" s="12" t="s">
        <v>16270</v>
      </c>
      <c r="N305" s="12" t="s">
        <v>16271</v>
      </c>
    </row>
    <row r="306" spans="1:14">
      <c r="A306" s="12" t="s">
        <v>7451</v>
      </c>
      <c r="B306" s="8">
        <v>231.746977568126</v>
      </c>
      <c r="C306" s="12">
        <v>691.48255013640505</v>
      </c>
      <c r="D306" s="8">
        <v>-1.57714232137608</v>
      </c>
      <c r="E306" s="12">
        <v>6.3513148770436603E-5</v>
      </c>
      <c r="F306" s="8" t="s">
        <v>7452</v>
      </c>
      <c r="G306" s="12" t="s">
        <v>7453</v>
      </c>
      <c r="H306" s="12">
        <v>1</v>
      </c>
      <c r="I306" s="13" t="str">
        <f>HYPERLINK("http://www.ncbi.nlm.nih.gov/gene/1388", "1388")</f>
        <v>1388</v>
      </c>
      <c r="J306" s="12" t="s">
        <v>18528</v>
      </c>
      <c r="K306" s="12" t="s">
        <v>18529</v>
      </c>
      <c r="L306" s="13" t="str">
        <f>HYPERLINK("http://asia.ensembl.org/Homo_sapiens/Gene/Summary?g=ENSG00000228628", "ENSG00000228628")</f>
        <v>ENSG00000228628</v>
      </c>
      <c r="M306" s="12" t="s">
        <v>18530</v>
      </c>
      <c r="N306" s="12" t="s">
        <v>18531</v>
      </c>
    </row>
    <row r="307" spans="1:14">
      <c r="A307" s="12" t="s">
        <v>3334</v>
      </c>
      <c r="B307" s="8">
        <v>19275.727348608401</v>
      </c>
      <c r="C307" s="12">
        <v>57511.0738677845</v>
      </c>
      <c r="D307" s="8">
        <v>-1.57705447681185</v>
      </c>
      <c r="E307" s="12">
        <v>4.8897418208448899E-3</v>
      </c>
      <c r="F307" s="8" t="s">
        <v>3335</v>
      </c>
      <c r="G307" s="12" t="s">
        <v>3336</v>
      </c>
      <c r="H307" s="12">
        <v>1</v>
      </c>
      <c r="I307" s="13" t="str">
        <f>HYPERLINK("http://www.ncbi.nlm.nih.gov/gene/475", "475")</f>
        <v>475</v>
      </c>
      <c r="J307" s="13" t="str">
        <f>HYPERLINK("http://www.ncbi.nlm.nih.gov/nuccore/NM_004045", "NM_004045")</f>
        <v>NM_004045</v>
      </c>
      <c r="K307" s="12" t="s">
        <v>3337</v>
      </c>
      <c r="L307" s="13" t="str">
        <f>HYPERLINK("http://asia.ensembl.org/Homo_sapiens/Gene/Summary?g=ENSG00000177556", "ENSG00000177556")</f>
        <v>ENSG00000177556</v>
      </c>
      <c r="M307" s="12" t="s">
        <v>17281</v>
      </c>
      <c r="N307" s="12" t="s">
        <v>17282</v>
      </c>
    </row>
    <row r="308" spans="1:14">
      <c r="A308" s="12" t="s">
        <v>3706</v>
      </c>
      <c r="B308" s="8">
        <v>1518.52495113548</v>
      </c>
      <c r="C308" s="12">
        <v>4527.3871523888802</v>
      </c>
      <c r="D308" s="8">
        <v>-1.5760080677956401</v>
      </c>
      <c r="E308" s="12">
        <v>1.3897773109556701E-3</v>
      </c>
      <c r="F308" s="8" t="s">
        <v>3707</v>
      </c>
      <c r="G308" s="12" t="s">
        <v>17383</v>
      </c>
      <c r="H308" s="12">
        <v>1</v>
      </c>
      <c r="I308" s="13" t="str">
        <f>HYPERLINK("http://www.ncbi.nlm.nih.gov/gene/81493", "81493")</f>
        <v>81493</v>
      </c>
      <c r="J308" s="12" t="s">
        <v>17384</v>
      </c>
      <c r="K308" s="12" t="s">
        <v>17385</v>
      </c>
      <c r="L308" s="13" t="str">
        <f>HYPERLINK("http://asia.ensembl.org/Homo_sapiens/Gene/Summary?g=ENSG00000162520", "ENSG00000162520")</f>
        <v>ENSG00000162520</v>
      </c>
      <c r="M308" s="12" t="s">
        <v>17386</v>
      </c>
      <c r="N308" s="12" t="s">
        <v>17387</v>
      </c>
    </row>
    <row r="309" spans="1:14">
      <c r="A309" s="12" t="s">
        <v>2173</v>
      </c>
      <c r="B309" s="8">
        <v>221.45758812633099</v>
      </c>
      <c r="C309" s="12">
        <v>658.59418485203105</v>
      </c>
      <c r="D309" s="8">
        <v>-1.5723593422676501</v>
      </c>
      <c r="E309" s="12">
        <v>4.8124531398055E-3</v>
      </c>
      <c r="F309" s="8" t="s">
        <v>2174</v>
      </c>
      <c r="G309" s="12" t="s">
        <v>2175</v>
      </c>
      <c r="H309" s="12">
        <v>1</v>
      </c>
      <c r="I309" s="13" t="str">
        <f>HYPERLINK("http://www.ncbi.nlm.nih.gov/gene/57156", "57156")</f>
        <v>57156</v>
      </c>
      <c r="J309" s="13" t="str">
        <f>HYPERLINK("http://www.ncbi.nlm.nih.gov/nuccore/NM_020431", "NM_020431")</f>
        <v>NM_020431</v>
      </c>
      <c r="K309" s="12" t="s">
        <v>2176</v>
      </c>
      <c r="L309" s="13" t="str">
        <f>HYPERLINK("http://asia.ensembl.org/Homo_sapiens/Gene/Summary?g=ENSG00000165548", "ENSG00000165548")</f>
        <v>ENSG00000165548</v>
      </c>
      <c r="M309" s="12" t="s">
        <v>16954</v>
      </c>
      <c r="N309" s="12" t="s">
        <v>16955</v>
      </c>
    </row>
    <row r="310" spans="1:14">
      <c r="A310" s="12" t="s">
        <v>2299</v>
      </c>
      <c r="B310" s="8">
        <v>50</v>
      </c>
      <c r="C310" s="12">
        <v>148.63008907070699</v>
      </c>
      <c r="D310" s="8">
        <v>-1.5717262084663099</v>
      </c>
      <c r="E310" s="12">
        <v>2.42765453595606E-2</v>
      </c>
      <c r="F310" s="8" t="s">
        <v>2300</v>
      </c>
      <c r="G310" s="12" t="s">
        <v>85</v>
      </c>
      <c r="H310" s="12">
        <v>1</v>
      </c>
      <c r="I310" s="13" t="str">
        <f>HYPERLINK("http://www.ncbi.nlm.nih.gov/gene/5161", "5161")</f>
        <v>5161</v>
      </c>
      <c r="J310" s="13" t="str">
        <f>HYPERLINK("http://www.ncbi.nlm.nih.gov/nuccore/NM_005390", "NM_005390")</f>
        <v>NM_005390</v>
      </c>
      <c r="K310" s="12" t="s">
        <v>2301</v>
      </c>
      <c r="L310" s="13" t="str">
        <f>HYPERLINK("http://asia.ensembl.org/Homo_sapiens/Gene/Summary?g=ENSG00000163114", "ENSG00000163114")</f>
        <v>ENSG00000163114</v>
      </c>
      <c r="M310" s="12" t="s">
        <v>2302</v>
      </c>
      <c r="N310" s="12" t="s">
        <v>2303</v>
      </c>
    </row>
    <row r="311" spans="1:14">
      <c r="A311" s="12" t="s">
        <v>8298</v>
      </c>
      <c r="B311" s="8">
        <v>50.430320201134698</v>
      </c>
      <c r="C311" s="12">
        <v>149.77960417601</v>
      </c>
      <c r="D311" s="8">
        <v>-1.57047789150582</v>
      </c>
      <c r="E311" s="12">
        <v>4.0748948159002298E-2</v>
      </c>
      <c r="F311" s="8" t="s">
        <v>8299</v>
      </c>
      <c r="G311" s="12" t="s">
        <v>319</v>
      </c>
      <c r="H311" s="12">
        <v>1</v>
      </c>
      <c r="I311" s="13" t="str">
        <f>HYPERLINK("http://www.ncbi.nlm.nih.gov/gene/100271715", "100271715")</f>
        <v>100271715</v>
      </c>
      <c r="J311" s="13" t="str">
        <f>HYPERLINK("http://www.ncbi.nlm.nih.gov/nuccore/NM_001145451", "NM_001145451")</f>
        <v>NM_001145451</v>
      </c>
      <c r="K311" s="12" t="s">
        <v>8300</v>
      </c>
      <c r="L311" s="13" t="str">
        <f>HYPERLINK("http://asia.ensembl.org/Homo_sapiens/Gene/Summary?g=ENSG00000214694", "ENSG00000214694")</f>
        <v>ENSG00000214694</v>
      </c>
      <c r="M311" s="12" t="s">
        <v>18767</v>
      </c>
      <c r="N311" s="12" t="s">
        <v>18768</v>
      </c>
    </row>
    <row r="312" spans="1:14">
      <c r="A312" s="12" t="s">
        <v>9581</v>
      </c>
      <c r="B312" s="8">
        <v>115.01465733309099</v>
      </c>
      <c r="C312" s="12">
        <v>341.579137211476</v>
      </c>
      <c r="D312" s="8">
        <v>-1.5704021332398701</v>
      </c>
      <c r="E312" s="12">
        <v>4.6544864613009499E-3</v>
      </c>
      <c r="F312" s="8" t="s">
        <v>9582</v>
      </c>
      <c r="G312" s="12" t="s">
        <v>9583</v>
      </c>
      <c r="H312" s="12">
        <v>1</v>
      </c>
      <c r="I312" s="13" t="str">
        <f>HYPERLINK("http://www.ncbi.nlm.nih.gov/gene/348013", "348013")</f>
        <v>348013</v>
      </c>
      <c r="J312" s="13" t="str">
        <f>HYPERLINK("http://www.ncbi.nlm.nih.gov/nuccore/NM_182614", "NM_182614")</f>
        <v>NM_182614</v>
      </c>
      <c r="K312" s="12" t="s">
        <v>9584</v>
      </c>
      <c r="L312" s="13" t="str">
        <f>HYPERLINK("http://asia.ensembl.org/Homo_sapiens/Gene/Summary?g=ENSG00000282107", "ENSG00000282107")</f>
        <v>ENSG00000282107</v>
      </c>
      <c r="M312" s="12" t="s">
        <v>19201</v>
      </c>
      <c r="N312" s="12" t="s">
        <v>19202</v>
      </c>
    </row>
    <row r="313" spans="1:14">
      <c r="A313" s="12" t="s">
        <v>10324</v>
      </c>
      <c r="B313" s="8">
        <v>1729.8868011649299</v>
      </c>
      <c r="C313" s="12">
        <v>5136.7366040266197</v>
      </c>
      <c r="D313" s="8">
        <v>-1.5701744635182799</v>
      </c>
      <c r="E313" s="12">
        <v>1.06693265751112E-3</v>
      </c>
      <c r="F313" s="8" t="s">
        <v>5199</v>
      </c>
      <c r="G313" s="12" t="s">
        <v>5200</v>
      </c>
      <c r="H313" s="12">
        <v>1</v>
      </c>
      <c r="I313" s="13" t="str">
        <f>HYPERLINK("http://www.ncbi.nlm.nih.gov/gene/54997", "54997")</f>
        <v>54997</v>
      </c>
      <c r="J313" s="12" t="s">
        <v>17824</v>
      </c>
      <c r="K313" s="12" t="s">
        <v>17825</v>
      </c>
      <c r="L313" s="13" t="str">
        <f>HYPERLINK("http://asia.ensembl.org/Homo_sapiens/Gene/Summary?g=ENSG00000088992", "ENSG00000088992")</f>
        <v>ENSG00000088992</v>
      </c>
      <c r="M313" s="12" t="s">
        <v>17826</v>
      </c>
      <c r="N313" s="12" t="s">
        <v>17827</v>
      </c>
    </row>
    <row r="314" spans="1:14">
      <c r="A314" s="12" t="s">
        <v>3629</v>
      </c>
      <c r="B314" s="8">
        <v>58.466232876523797</v>
      </c>
      <c r="C314" s="12">
        <v>173.510500569453</v>
      </c>
      <c r="D314" s="8">
        <v>-1.56934743194395</v>
      </c>
      <c r="E314" s="12">
        <v>5.7999319736207504E-3</v>
      </c>
      <c r="F314" s="8" t="s">
        <v>3630</v>
      </c>
      <c r="G314" s="12" t="s">
        <v>3631</v>
      </c>
      <c r="H314" s="12">
        <v>1</v>
      </c>
      <c r="I314" s="13" t="str">
        <f>HYPERLINK("http://www.ncbi.nlm.nih.gov/gene/55118", "55118")</f>
        <v>55118</v>
      </c>
      <c r="J314" s="13" t="str">
        <f>HYPERLINK("http://www.ncbi.nlm.nih.gov/nuccore/NM_018058", "NM_018058")</f>
        <v>NM_018058</v>
      </c>
      <c r="K314" s="12" t="s">
        <v>3632</v>
      </c>
      <c r="L314" s="13" t="str">
        <f>HYPERLINK("http://asia.ensembl.org/Homo_sapiens/Gene/Summary?g=ENSG00000095713", "ENSG00000095713")</f>
        <v>ENSG00000095713</v>
      </c>
      <c r="M314" s="12" t="s">
        <v>17359</v>
      </c>
      <c r="N314" s="12" t="s">
        <v>17360</v>
      </c>
    </row>
    <row r="315" spans="1:14">
      <c r="A315" s="12" t="s">
        <v>4238</v>
      </c>
      <c r="B315" s="8">
        <v>39574.242316071301</v>
      </c>
      <c r="C315" s="12">
        <v>117394.218126622</v>
      </c>
      <c r="D315" s="8">
        <v>-1.56872772084426</v>
      </c>
      <c r="E315" s="12">
        <v>2.6786889119033899E-3</v>
      </c>
      <c r="F315" s="8" t="s">
        <v>4239</v>
      </c>
      <c r="G315" s="12" t="s">
        <v>17623</v>
      </c>
      <c r="H315" s="12">
        <v>1</v>
      </c>
      <c r="I315" s="13" t="str">
        <f>HYPERLINK("http://www.ncbi.nlm.nih.gov/gene/10577", "10577")</f>
        <v>10577</v>
      </c>
      <c r="J315" s="13" t="str">
        <f>HYPERLINK("http://www.ncbi.nlm.nih.gov/nuccore/NM_006432", "NM_006432")</f>
        <v>NM_006432</v>
      </c>
      <c r="K315" s="12" t="s">
        <v>4240</v>
      </c>
      <c r="L315" s="13" t="str">
        <f>HYPERLINK("http://asia.ensembl.org/Homo_sapiens/Gene/Summary?g=ENSG00000119655", "ENSG00000119655")</f>
        <v>ENSG00000119655</v>
      </c>
      <c r="M315" s="12" t="s">
        <v>17624</v>
      </c>
      <c r="N315" s="12" t="s">
        <v>17625</v>
      </c>
    </row>
    <row r="316" spans="1:14">
      <c r="A316" s="12" t="s">
        <v>11279</v>
      </c>
      <c r="B316" s="8">
        <v>423.55415022442702</v>
      </c>
      <c r="C316" s="12">
        <v>1255.00371846812</v>
      </c>
      <c r="D316" s="8">
        <v>-1.56707330773904</v>
      </c>
      <c r="E316" s="12">
        <v>4.0557599443229999E-4</v>
      </c>
      <c r="F316" s="8" t="s">
        <v>6009</v>
      </c>
      <c r="G316" s="12" t="s">
        <v>20015</v>
      </c>
      <c r="H316" s="12">
        <v>1</v>
      </c>
      <c r="I316" s="13" t="str">
        <f>HYPERLINK("http://www.ncbi.nlm.nih.gov/gene/8514", "8514")</f>
        <v>8514</v>
      </c>
      <c r="J316" s="12" t="s">
        <v>20016</v>
      </c>
      <c r="K316" s="12" t="s">
        <v>20017</v>
      </c>
      <c r="L316" s="13" t="str">
        <f>HYPERLINK("http://asia.ensembl.org/Homo_sapiens/Gene/Summary?g=ENSG00000069424", "ENSG00000069424")</f>
        <v>ENSG00000069424</v>
      </c>
      <c r="M316" s="12" t="s">
        <v>20018</v>
      </c>
      <c r="N316" s="12" t="s">
        <v>20019</v>
      </c>
    </row>
    <row r="317" spans="1:14">
      <c r="A317" s="12" t="s">
        <v>10059</v>
      </c>
      <c r="B317" s="8">
        <v>263.37413650760902</v>
      </c>
      <c r="C317" s="12">
        <v>779.85136598237204</v>
      </c>
      <c r="D317" s="8">
        <v>-1.5660855038939401</v>
      </c>
      <c r="E317" s="12">
        <v>2.0159268176077002E-3</v>
      </c>
      <c r="F317" s="8" t="s">
        <v>4481</v>
      </c>
      <c r="G317" s="12" t="s">
        <v>4482</v>
      </c>
      <c r="H317" s="12">
        <v>1</v>
      </c>
      <c r="I317" s="13" t="str">
        <f>HYPERLINK("http://www.ncbi.nlm.nih.gov/gene/7035", "7035")</f>
        <v>7035</v>
      </c>
      <c r="J317" s="13" t="str">
        <f>HYPERLINK("http://www.ncbi.nlm.nih.gov/nuccore/NM_006287", "NM_006287")</f>
        <v>NM_006287</v>
      </c>
      <c r="K317" s="12" t="s">
        <v>10060</v>
      </c>
      <c r="L317" s="13" t="str">
        <f>HYPERLINK("http://asia.ensembl.org/Homo_sapiens/Gene/Summary?g=ENSG00000003436", "ENSG00000003436")</f>
        <v>ENSG00000003436</v>
      </c>
      <c r="M317" s="12" t="s">
        <v>17695</v>
      </c>
      <c r="N317" s="12" t="s">
        <v>17696</v>
      </c>
    </row>
    <row r="318" spans="1:14">
      <c r="A318" s="12" t="s">
        <v>3633</v>
      </c>
      <c r="B318" s="8">
        <v>53.618477949512197</v>
      </c>
      <c r="C318" s="12">
        <v>158.65385065546201</v>
      </c>
      <c r="D318" s="8">
        <v>-1.5650803653452301</v>
      </c>
      <c r="E318" s="12">
        <v>3.4856041920595403E-2</v>
      </c>
      <c r="F318" s="8" t="s">
        <v>3634</v>
      </c>
      <c r="G318" s="12" t="s">
        <v>3635</v>
      </c>
      <c r="H318" s="12">
        <v>1</v>
      </c>
      <c r="I318" s="13" t="str">
        <f>HYPERLINK("http://www.ncbi.nlm.nih.gov/gene/100289410", "100289410")</f>
        <v>100289410</v>
      </c>
      <c r="J318" s="13" t="str">
        <f>HYPERLINK("http://www.ncbi.nlm.nih.gov/nuccore/NR_034002", "NR_034002")</f>
        <v>NR_034002</v>
      </c>
      <c r="K318" s="12" t="s">
        <v>199</v>
      </c>
      <c r="L318" s="12" t="s">
        <v>38</v>
      </c>
      <c r="M318" s="12" t="s">
        <v>38</v>
      </c>
      <c r="N318" s="12" t="s">
        <v>38</v>
      </c>
    </row>
    <row r="319" spans="1:14">
      <c r="A319" s="12" t="s">
        <v>11270</v>
      </c>
      <c r="B319" s="8">
        <v>2302.6266832235701</v>
      </c>
      <c r="C319" s="12">
        <v>6811.1480749045704</v>
      </c>
      <c r="D319" s="8">
        <v>-1.56461746581363</v>
      </c>
      <c r="E319" s="12">
        <v>9.8941592214673007E-4</v>
      </c>
      <c r="F319" s="8" t="s">
        <v>11047</v>
      </c>
      <c r="G319" s="12" t="s">
        <v>11048</v>
      </c>
      <c r="H319" s="12">
        <v>1</v>
      </c>
      <c r="I319" s="13" t="str">
        <f>HYPERLINK("http://www.ncbi.nlm.nih.gov/gene/100506581", "100506581")</f>
        <v>100506581</v>
      </c>
      <c r="J319" s="12" t="s">
        <v>20013</v>
      </c>
      <c r="K319" s="12" t="s">
        <v>20014</v>
      </c>
      <c r="L319" s="13" t="str">
        <f>HYPERLINK("http://asia.ensembl.org/Homo_sapiens/Gene/Summary?g=ENSG00000260456", "ENSG00000260456")</f>
        <v>ENSG00000260456</v>
      </c>
      <c r="M319" s="12" t="s">
        <v>19941</v>
      </c>
      <c r="N319" s="12" t="s">
        <v>19942</v>
      </c>
    </row>
    <row r="320" spans="1:14">
      <c r="A320" s="12" t="s">
        <v>7933</v>
      </c>
      <c r="B320" s="8">
        <v>1375.5986797877099</v>
      </c>
      <c r="C320" s="12">
        <v>4067.30134720264</v>
      </c>
      <c r="D320" s="8">
        <v>-1.5640122479646901</v>
      </c>
      <c r="E320" s="12">
        <v>8.3697375138966097E-4</v>
      </c>
      <c r="F320" s="8" t="s">
        <v>7934</v>
      </c>
      <c r="G320" s="12" t="s">
        <v>7935</v>
      </c>
      <c r="H320" s="12">
        <v>1</v>
      </c>
      <c r="I320" s="13" t="str">
        <f>HYPERLINK("http://www.ncbi.nlm.nih.gov/gene/135154", "135154")</f>
        <v>135154</v>
      </c>
      <c r="J320" s="13" t="str">
        <f>HYPERLINK("http://www.ncbi.nlm.nih.gov/nuccore/NM_145267", "NM_145267")</f>
        <v>NM_145267</v>
      </c>
      <c r="K320" s="12" t="s">
        <v>7936</v>
      </c>
      <c r="L320" s="13" t="str">
        <f>HYPERLINK("http://asia.ensembl.org/Homo_sapiens/Gene/Summary?g=ENSG00000154079", "ENSG00000154079")</f>
        <v>ENSG00000154079</v>
      </c>
      <c r="M320" s="12" t="s">
        <v>18674</v>
      </c>
      <c r="N320" s="12" t="s">
        <v>7937</v>
      </c>
    </row>
    <row r="321" spans="1:14">
      <c r="A321" s="12" t="s">
        <v>520</v>
      </c>
      <c r="B321" s="8">
        <v>5294.66247955156</v>
      </c>
      <c r="C321" s="12">
        <v>15650.832389740401</v>
      </c>
      <c r="D321" s="8">
        <v>-1.56362876460949</v>
      </c>
      <c r="E321" s="12">
        <v>3.1081414996251102E-4</v>
      </c>
      <c r="F321" s="8" t="s">
        <v>521</v>
      </c>
      <c r="G321" s="12" t="s">
        <v>522</v>
      </c>
      <c r="H321" s="12">
        <v>1</v>
      </c>
      <c r="I321" s="13" t="str">
        <f>HYPERLINK("http://www.ncbi.nlm.nih.gov/gene/63875", "63875")</f>
        <v>63875</v>
      </c>
      <c r="J321" s="13" t="str">
        <f>HYPERLINK("http://www.ncbi.nlm.nih.gov/nuccore/NM_022061", "NM_022061")</f>
        <v>NM_022061</v>
      </c>
      <c r="K321" s="12" t="s">
        <v>523</v>
      </c>
      <c r="L321" s="13" t="str">
        <f>HYPERLINK("http://asia.ensembl.org/Homo_sapiens/Gene/Summary?g=ENSG00000158042", "ENSG00000158042")</f>
        <v>ENSG00000158042</v>
      </c>
      <c r="M321" s="12" t="s">
        <v>16366</v>
      </c>
      <c r="N321" s="12" t="s">
        <v>16367</v>
      </c>
    </row>
    <row r="322" spans="1:14">
      <c r="A322" s="12" t="s">
        <v>6548</v>
      </c>
      <c r="B322" s="8">
        <v>3850.2513062071798</v>
      </c>
      <c r="C322" s="12">
        <v>11374.934432985399</v>
      </c>
      <c r="D322" s="8">
        <v>-1.5628337105882799</v>
      </c>
      <c r="E322" s="12">
        <v>3.5108874073468302E-3</v>
      </c>
      <c r="F322" s="8" t="s">
        <v>6549</v>
      </c>
      <c r="G322" s="12" t="s">
        <v>3064</v>
      </c>
      <c r="H322" s="12">
        <v>1</v>
      </c>
      <c r="I322" s="13" t="str">
        <f>HYPERLINK("http://www.ncbi.nlm.nih.gov/gene/56655", "56655")</f>
        <v>56655</v>
      </c>
      <c r="J322" s="13" t="str">
        <f>HYPERLINK("http://www.ncbi.nlm.nih.gov/nuccore/NM_019896", "NM_019896")</f>
        <v>NM_019896</v>
      </c>
      <c r="K322" s="12" t="s">
        <v>6550</v>
      </c>
      <c r="L322" s="13" t="str">
        <f>HYPERLINK("http://asia.ensembl.org/Homo_sapiens/Gene/Summary?g=ENSG00000115350", "ENSG00000115350")</f>
        <v>ENSG00000115350</v>
      </c>
      <c r="M322" s="12" t="s">
        <v>18208</v>
      </c>
      <c r="N322" s="12" t="s">
        <v>6551</v>
      </c>
    </row>
    <row r="323" spans="1:14">
      <c r="A323" s="12" t="s">
        <v>1748</v>
      </c>
      <c r="B323" s="8">
        <v>706.70909497934201</v>
      </c>
      <c r="C323" s="12">
        <v>2084.8119419744598</v>
      </c>
      <c r="D323" s="8">
        <v>-1.56072887194705</v>
      </c>
      <c r="E323" s="12">
        <v>2.0041554677140698E-3</v>
      </c>
      <c r="F323" s="8" t="s">
        <v>1749</v>
      </c>
      <c r="G323" s="12" t="s">
        <v>16781</v>
      </c>
      <c r="H323" s="12">
        <v>1</v>
      </c>
      <c r="I323" s="13" t="str">
        <f>HYPERLINK("http://www.ncbi.nlm.nih.gov/gene/3691", "3691")</f>
        <v>3691</v>
      </c>
      <c r="J323" s="12" t="s">
        <v>16782</v>
      </c>
      <c r="K323" s="12" t="s">
        <v>16783</v>
      </c>
      <c r="L323" s="13" t="str">
        <f>HYPERLINK("http://asia.ensembl.org/Homo_sapiens/Gene/Summary?g=ENSG00000132470", "ENSG00000132470")</f>
        <v>ENSG00000132470</v>
      </c>
      <c r="M323" s="12" t="s">
        <v>16784</v>
      </c>
      <c r="N323" s="12" t="s">
        <v>16785</v>
      </c>
    </row>
    <row r="324" spans="1:14">
      <c r="A324" s="12" t="s">
        <v>7087</v>
      </c>
      <c r="B324" s="8">
        <v>135.20359795674099</v>
      </c>
      <c r="C324" s="12">
        <v>398.83536051030802</v>
      </c>
      <c r="D324" s="8">
        <v>-1.56065977964428</v>
      </c>
      <c r="E324" s="12">
        <v>2.6308130219857598E-4</v>
      </c>
      <c r="F324" s="8" t="s">
        <v>7088</v>
      </c>
      <c r="G324" s="12" t="s">
        <v>7089</v>
      </c>
      <c r="H324" s="12">
        <v>1</v>
      </c>
      <c r="I324" s="13" t="str">
        <f>HYPERLINK("http://www.ncbi.nlm.nih.gov/gene/84080", "84080")</f>
        <v>84080</v>
      </c>
      <c r="J324" s="13" t="str">
        <f>HYPERLINK("http://www.ncbi.nlm.nih.gov/nuccore/NM_032140", "NM_032140")</f>
        <v>NM_032140</v>
      </c>
      <c r="K324" s="12" t="s">
        <v>7090</v>
      </c>
      <c r="L324" s="13" t="str">
        <f>HYPERLINK("http://asia.ensembl.org/Homo_sapiens/Gene/Summary?g=ENSG00000124074", "ENSG00000124074")</f>
        <v>ENSG00000124074</v>
      </c>
      <c r="M324" s="12" t="s">
        <v>18364</v>
      </c>
      <c r="N324" s="12" t="s">
        <v>18365</v>
      </c>
    </row>
    <row r="325" spans="1:14">
      <c r="A325" s="12" t="s">
        <v>3487</v>
      </c>
      <c r="B325" s="8">
        <v>2723.0267994832998</v>
      </c>
      <c r="C325" s="12">
        <v>8028.8101900837401</v>
      </c>
      <c r="D325" s="8">
        <v>-1.55997502574802</v>
      </c>
      <c r="E325" s="12">
        <v>2.71707442816325E-3</v>
      </c>
      <c r="F325" s="8" t="s">
        <v>3488</v>
      </c>
      <c r="G325" s="12" t="s">
        <v>3489</v>
      </c>
      <c r="H325" s="12">
        <v>1</v>
      </c>
      <c r="I325" s="13" t="str">
        <f>HYPERLINK("http://www.ncbi.nlm.nih.gov/gene/100093630", "100093630")</f>
        <v>100093630</v>
      </c>
      <c r="J325" s="12" t="s">
        <v>17320</v>
      </c>
      <c r="K325" s="12" t="s">
        <v>13129</v>
      </c>
      <c r="L325" s="13" t="str">
        <f>HYPERLINK("http://asia.ensembl.org/Homo_sapiens/Gene/Summary?g=ENSG00000269893", "ENSG00000269893")</f>
        <v>ENSG00000269893</v>
      </c>
      <c r="M325" s="12" t="s">
        <v>17321</v>
      </c>
    </row>
    <row r="326" spans="1:14">
      <c r="A326" s="12" t="s">
        <v>7868</v>
      </c>
      <c r="B326" s="8">
        <v>10101.311714724699</v>
      </c>
      <c r="C326" s="12">
        <v>29781.3032572466</v>
      </c>
      <c r="D326" s="8">
        <v>-1.55986424138816</v>
      </c>
      <c r="E326" s="12">
        <v>2.2947679570830002E-3</v>
      </c>
      <c r="F326" s="8" t="s">
        <v>3883</v>
      </c>
      <c r="G326" s="12" t="s">
        <v>3884</v>
      </c>
      <c r="H326" s="12">
        <v>1</v>
      </c>
      <c r="I326" s="13" t="str">
        <f>HYPERLINK("http://www.ncbi.nlm.nih.gov/gene/84269", "84269")</f>
        <v>84269</v>
      </c>
      <c r="J326" s="13" t="str">
        <f>HYPERLINK("http://www.ncbi.nlm.nih.gov/nuccore/NM_032309", "NM_032309")</f>
        <v>NM_032309</v>
      </c>
      <c r="K326" s="12" t="s">
        <v>3885</v>
      </c>
      <c r="L326" s="13" t="str">
        <f>HYPERLINK("http://asia.ensembl.org/Homo_sapiens/Gene/Summary?g=ENSG00000125611", "ENSG00000125611")</f>
        <v>ENSG00000125611</v>
      </c>
      <c r="M326" s="12" t="s">
        <v>18652</v>
      </c>
      <c r="N326" s="12" t="s">
        <v>18653</v>
      </c>
    </row>
    <row r="327" spans="1:14">
      <c r="A327" s="12" t="s">
        <v>3493</v>
      </c>
      <c r="B327" s="8">
        <v>449.95596273310298</v>
      </c>
      <c r="C327" s="12">
        <v>1326.1737540075701</v>
      </c>
      <c r="D327" s="8">
        <v>-1.55941409169454</v>
      </c>
      <c r="E327" s="12">
        <v>7.6655036617366903E-4</v>
      </c>
      <c r="F327" s="8" t="s">
        <v>3494</v>
      </c>
      <c r="G327" s="12" t="s">
        <v>3495</v>
      </c>
      <c r="H327" s="12">
        <v>1</v>
      </c>
      <c r="I327" s="13" t="str">
        <f>HYPERLINK("http://www.ncbi.nlm.nih.gov/gene/8625", "8625")</f>
        <v>8625</v>
      </c>
      <c r="J327" s="12" t="s">
        <v>17322</v>
      </c>
      <c r="K327" s="12" t="s">
        <v>17323</v>
      </c>
      <c r="L327" s="13" t="str">
        <f>HYPERLINK("http://asia.ensembl.org/Homo_sapiens/Gene/Summary?g=ENSG00000064490", "ENSG00000064490")</f>
        <v>ENSG00000064490</v>
      </c>
      <c r="M327" s="12" t="s">
        <v>17324</v>
      </c>
      <c r="N327" s="12" t="s">
        <v>17325</v>
      </c>
    </row>
    <row r="328" spans="1:14">
      <c r="A328" s="12" t="s">
        <v>653</v>
      </c>
      <c r="B328" s="8">
        <v>28280.008213386402</v>
      </c>
      <c r="C328" s="12">
        <v>83338.879048440896</v>
      </c>
      <c r="D328" s="8">
        <v>-1.5592071560167799</v>
      </c>
      <c r="E328" s="12">
        <v>9.3940695782123904E-4</v>
      </c>
      <c r="F328" s="8" t="s">
        <v>654</v>
      </c>
      <c r="G328" s="12" t="s">
        <v>655</v>
      </c>
      <c r="H328" s="12">
        <v>1</v>
      </c>
      <c r="I328" s="13" t="str">
        <f>HYPERLINK("http://www.ncbi.nlm.nih.gov/gene/51192", "51192")</f>
        <v>51192</v>
      </c>
      <c r="J328" s="12" t="s">
        <v>16403</v>
      </c>
      <c r="K328" s="12" t="s">
        <v>16404</v>
      </c>
      <c r="L328" s="13" t="str">
        <f>HYPERLINK("http://asia.ensembl.org/Homo_sapiens/Gene/Summary?g=ENSG00000217555", "ENSG00000217555")</f>
        <v>ENSG00000217555</v>
      </c>
      <c r="M328" s="12" t="s">
        <v>16405</v>
      </c>
      <c r="N328" s="12" t="s">
        <v>16406</v>
      </c>
    </row>
    <row r="329" spans="1:14">
      <c r="A329" s="12" t="s">
        <v>1690</v>
      </c>
      <c r="B329" s="8">
        <v>550.14764481272096</v>
      </c>
      <c r="C329" s="12">
        <v>1620.786413799</v>
      </c>
      <c r="D329" s="8">
        <v>-1.5588032297360901</v>
      </c>
      <c r="E329" s="12">
        <v>1.8792523407496101E-2</v>
      </c>
      <c r="F329" s="8" t="s">
        <v>1691</v>
      </c>
      <c r="G329" s="12" t="s">
        <v>16758</v>
      </c>
      <c r="H329" s="12">
        <v>1</v>
      </c>
      <c r="I329" s="13" t="str">
        <f>HYPERLINK("http://www.ncbi.nlm.nih.gov/gene/1593", "1593")</f>
        <v>1593</v>
      </c>
      <c r="J329" s="13" t="str">
        <f>HYPERLINK("http://www.ncbi.nlm.nih.gov/nuccore/NM_000784", "NM_000784")</f>
        <v>NM_000784</v>
      </c>
      <c r="K329" s="12" t="s">
        <v>1692</v>
      </c>
      <c r="L329" s="13" t="str">
        <f>HYPERLINK("http://asia.ensembl.org/Homo_sapiens/Gene/Summary?g=ENSG00000135929", "ENSG00000135929")</f>
        <v>ENSG00000135929</v>
      </c>
      <c r="M329" s="12" t="s">
        <v>16759</v>
      </c>
      <c r="N329" s="12" t="s">
        <v>16760</v>
      </c>
    </row>
    <row r="330" spans="1:14">
      <c r="A330" s="12" t="s">
        <v>8253</v>
      </c>
      <c r="B330" s="8">
        <v>369.61192677972201</v>
      </c>
      <c r="C330" s="12">
        <v>1088.6553994703299</v>
      </c>
      <c r="D330" s="8">
        <v>-1.5584641428191199</v>
      </c>
      <c r="E330" s="12">
        <v>7.9836240072560396E-5</v>
      </c>
      <c r="F330" s="8" t="s">
        <v>8254</v>
      </c>
      <c r="G330" s="12" t="s">
        <v>147</v>
      </c>
      <c r="H330" s="12">
        <v>1</v>
      </c>
      <c r="I330" s="13" t="str">
        <f>HYPERLINK("http://www.ncbi.nlm.nih.gov/gene/292", "292")</f>
        <v>292</v>
      </c>
      <c r="J330" s="13" t="str">
        <f>HYPERLINK("http://www.ncbi.nlm.nih.gov/nuccore/NM_001152", "NM_001152")</f>
        <v>NM_001152</v>
      </c>
      <c r="K330" s="12" t="s">
        <v>8255</v>
      </c>
      <c r="L330" s="13" t="str">
        <f>HYPERLINK("http://asia.ensembl.org/Homo_sapiens/Gene/Summary?g=ENSG00000005022", "ENSG00000005022")</f>
        <v>ENSG00000005022</v>
      </c>
      <c r="M330" s="12" t="s">
        <v>18753</v>
      </c>
      <c r="N330" s="12" t="s">
        <v>8256</v>
      </c>
    </row>
    <row r="331" spans="1:14">
      <c r="A331" s="12" t="s">
        <v>11709</v>
      </c>
      <c r="B331" s="8">
        <v>243.091530135298</v>
      </c>
      <c r="C331" s="12">
        <v>715.52942190176998</v>
      </c>
      <c r="D331" s="8">
        <v>-1.55751146299612</v>
      </c>
      <c r="E331" s="12">
        <v>2.7682107281050898E-3</v>
      </c>
      <c r="F331" s="8" t="s">
        <v>38</v>
      </c>
      <c r="G331" s="12" t="s">
        <v>38</v>
      </c>
      <c r="H331" s="12">
        <v>1</v>
      </c>
      <c r="I331" s="12" t="s">
        <v>38</v>
      </c>
      <c r="J331" s="12" t="s">
        <v>38</v>
      </c>
      <c r="K331" s="12" t="s">
        <v>38</v>
      </c>
      <c r="L331" s="13" t="str">
        <f>HYPERLINK("http://asia.ensembl.org/Homo_sapiens/Gene/Summary?g=ENSG00000183921", "ENSG00000183921")</f>
        <v>ENSG00000183921</v>
      </c>
      <c r="M331" s="12" t="s">
        <v>11710</v>
      </c>
      <c r="N331" s="12" t="s">
        <v>11711</v>
      </c>
    </row>
    <row r="332" spans="1:14">
      <c r="A332" s="12" t="s">
        <v>3821</v>
      </c>
      <c r="B332" s="8">
        <v>64.821579013131895</v>
      </c>
      <c r="C332" s="12">
        <v>190.62304870814299</v>
      </c>
      <c r="D332" s="8">
        <v>-1.55617650030397</v>
      </c>
      <c r="E332" s="12">
        <v>2.75569422760094E-2</v>
      </c>
      <c r="F332" s="8" t="s">
        <v>3822</v>
      </c>
      <c r="G332" s="12" t="s">
        <v>3823</v>
      </c>
      <c r="H332" s="12">
        <v>1</v>
      </c>
      <c r="I332" s="13" t="str">
        <f>HYPERLINK("http://www.ncbi.nlm.nih.gov/gene/4837", "4837")</f>
        <v>4837</v>
      </c>
      <c r="J332" s="13" t="str">
        <f>HYPERLINK("http://www.ncbi.nlm.nih.gov/nuccore/NM_006169", "NM_006169")</f>
        <v>NM_006169</v>
      </c>
      <c r="K332" s="12" t="s">
        <v>3824</v>
      </c>
      <c r="L332" s="13" t="str">
        <f>HYPERLINK("http://asia.ensembl.org/Homo_sapiens/Gene/Summary?g=ENSG00000166741", "ENSG00000166741")</f>
        <v>ENSG00000166741</v>
      </c>
      <c r="M332" s="12" t="s">
        <v>17436</v>
      </c>
      <c r="N332" s="12" t="s">
        <v>17437</v>
      </c>
    </row>
    <row r="333" spans="1:14">
      <c r="A333" s="12" t="s">
        <v>5401</v>
      </c>
      <c r="B333" s="8">
        <v>346.129910826318</v>
      </c>
      <c r="C333" s="12">
        <v>1017.8421144303099</v>
      </c>
      <c r="D333" s="8">
        <v>-1.55612826835214</v>
      </c>
      <c r="E333" s="12">
        <v>2.6982853295701502E-3</v>
      </c>
      <c r="F333" s="8" t="s">
        <v>5402</v>
      </c>
      <c r="G333" s="12" t="s">
        <v>5403</v>
      </c>
      <c r="H333" s="12">
        <v>1</v>
      </c>
      <c r="I333" s="13" t="str">
        <f>HYPERLINK("http://www.ncbi.nlm.nih.gov/gene/140706", "140706")</f>
        <v>140706</v>
      </c>
      <c r="J333" s="13" t="str">
        <f>HYPERLINK("http://www.ncbi.nlm.nih.gov/nuccore/NM_080625", "NM_080625")</f>
        <v>NM_080625</v>
      </c>
      <c r="K333" s="12" t="s">
        <v>5404</v>
      </c>
      <c r="L333" s="13" t="str">
        <f>HYPERLINK("http://asia.ensembl.org/Homo_sapiens/Gene/Summary?g=ENSG00000101331", "ENSG00000101331")</f>
        <v>ENSG00000101331</v>
      </c>
      <c r="M333" s="12" t="s">
        <v>17872</v>
      </c>
      <c r="N333" s="12" t="s">
        <v>17873</v>
      </c>
    </row>
    <row r="334" spans="1:14">
      <c r="A334" s="12" t="s">
        <v>10460</v>
      </c>
      <c r="B334" s="8">
        <v>287.04651177181898</v>
      </c>
      <c r="C334" s="12">
        <v>844.04193857131997</v>
      </c>
      <c r="D334" s="8">
        <v>-1.55603016113952</v>
      </c>
      <c r="E334" s="12">
        <v>5.0992834789985401E-3</v>
      </c>
      <c r="F334" s="8" t="s">
        <v>10461</v>
      </c>
      <c r="G334" s="12" t="s">
        <v>10462</v>
      </c>
      <c r="H334" s="12">
        <v>1</v>
      </c>
      <c r="I334" s="13" t="str">
        <f>HYPERLINK("http://www.ncbi.nlm.nih.gov/gene/641518", "641518")</f>
        <v>641518</v>
      </c>
      <c r="J334" s="12" t="s">
        <v>19744</v>
      </c>
      <c r="K334" s="12" t="s">
        <v>13129</v>
      </c>
      <c r="L334" s="13" t="str">
        <f>HYPERLINK("http://asia.ensembl.org/Homo_sapiens/Gene/Summary?g=ENSG00000232021", "ENSG00000232021")</f>
        <v>ENSG00000232021</v>
      </c>
      <c r="M334" s="12" t="s">
        <v>19745</v>
      </c>
    </row>
    <row r="335" spans="1:14">
      <c r="A335" s="12" t="s">
        <v>4628</v>
      </c>
      <c r="B335" s="8">
        <v>50.063549368408196</v>
      </c>
      <c r="C335" s="12">
        <v>147.126312541472</v>
      </c>
      <c r="D335" s="8">
        <v>-1.55522280298629</v>
      </c>
      <c r="E335" s="12">
        <v>2.6326301334675801E-4</v>
      </c>
      <c r="F335" s="8" t="s">
        <v>4629</v>
      </c>
      <c r="G335" s="12" t="s">
        <v>4630</v>
      </c>
      <c r="H335" s="12">
        <v>1</v>
      </c>
      <c r="I335" s="13" t="str">
        <f>HYPERLINK("http://www.ncbi.nlm.nih.gov/gene/4685", "4685")</f>
        <v>4685</v>
      </c>
      <c r="J335" s="13" t="str">
        <f>HYPERLINK("http://www.ncbi.nlm.nih.gov/nuccore/NM_004540", "NM_004540")</f>
        <v>NM_004540</v>
      </c>
      <c r="K335" s="12" t="s">
        <v>4631</v>
      </c>
      <c r="L335" s="13" t="str">
        <f>HYPERLINK("http://asia.ensembl.org/Homo_sapiens/Gene/Summary?g=ENSG00000154654", "ENSG00000154654")</f>
        <v>ENSG00000154654</v>
      </c>
      <c r="M335" s="12" t="s">
        <v>17720</v>
      </c>
      <c r="N335" s="12" t="s">
        <v>17721</v>
      </c>
    </row>
    <row r="336" spans="1:14">
      <c r="A336" s="12" t="s">
        <v>11297</v>
      </c>
      <c r="B336" s="8">
        <v>178.11030604300601</v>
      </c>
      <c r="C336" s="12">
        <v>522.91206613384998</v>
      </c>
      <c r="D336" s="8">
        <v>-1.55379736269211</v>
      </c>
      <c r="E336" s="12">
        <v>3.2782595384999599E-2</v>
      </c>
      <c r="F336" s="8" t="s">
        <v>9560</v>
      </c>
      <c r="G336" s="12" t="s">
        <v>20035</v>
      </c>
      <c r="H336" s="12">
        <v>1</v>
      </c>
      <c r="I336" s="13" t="str">
        <f>HYPERLINK("http://www.ncbi.nlm.nih.gov/gene/221301", "221301")</f>
        <v>221301</v>
      </c>
      <c r="J336" s="12" t="s">
        <v>20036</v>
      </c>
      <c r="K336" s="12" t="s">
        <v>20037</v>
      </c>
      <c r="L336" s="13" t="str">
        <f>HYPERLINK("http://asia.ensembl.org/Homo_sapiens/Gene/Summary?g=ENSG00000164451", "ENSG00000164451")</f>
        <v>ENSG00000164451</v>
      </c>
      <c r="M336" s="12" t="s">
        <v>20038</v>
      </c>
      <c r="N336" s="12" t="s">
        <v>20039</v>
      </c>
    </row>
    <row r="337" spans="1:14">
      <c r="A337" s="12" t="s">
        <v>11750</v>
      </c>
      <c r="B337" s="8">
        <v>107.152367814012</v>
      </c>
      <c r="C337" s="12">
        <v>314.32639148812598</v>
      </c>
      <c r="D337" s="8">
        <v>-1.5525996783385501</v>
      </c>
      <c r="E337" s="12">
        <v>1.0622908201716999E-2</v>
      </c>
      <c r="F337" s="8" t="s">
        <v>38</v>
      </c>
      <c r="G337" s="12" t="s">
        <v>38</v>
      </c>
      <c r="H337" s="12">
        <v>1</v>
      </c>
      <c r="I337" s="12" t="s">
        <v>38</v>
      </c>
      <c r="J337" s="12" t="s">
        <v>38</v>
      </c>
      <c r="K337" s="12" t="s">
        <v>38</v>
      </c>
      <c r="L337" s="12" t="s">
        <v>11751</v>
      </c>
      <c r="M337" s="12" t="s">
        <v>11752</v>
      </c>
      <c r="N337" s="12" t="s">
        <v>11753</v>
      </c>
    </row>
    <row r="338" spans="1:14">
      <c r="A338" s="12" t="s">
        <v>8302</v>
      </c>
      <c r="B338" s="8">
        <v>17673.5131508458</v>
      </c>
      <c r="C338" s="12">
        <v>51825.156043353898</v>
      </c>
      <c r="D338" s="8">
        <v>-1.55206370711008</v>
      </c>
      <c r="E338" s="12">
        <v>4.0439141018212303E-3</v>
      </c>
      <c r="F338" s="8" t="s">
        <v>541</v>
      </c>
      <c r="G338" s="12" t="s">
        <v>542</v>
      </c>
      <c r="H338" s="12">
        <v>1</v>
      </c>
      <c r="I338" s="13" t="str">
        <f>HYPERLINK("http://www.ncbi.nlm.nih.gov/gene/51255", "51255")</f>
        <v>51255</v>
      </c>
      <c r="J338" s="13" t="str">
        <f>HYPERLINK("http://www.ncbi.nlm.nih.gov/nuccore/NM_016494", "NM_016494")</f>
        <v>NM_016494</v>
      </c>
      <c r="K338" s="12" t="s">
        <v>543</v>
      </c>
      <c r="L338" s="13" t="str">
        <f>HYPERLINK("http://asia.ensembl.org/Homo_sapiens/Gene/Summary?g=ENSG00000168894", "ENSG00000168894")</f>
        <v>ENSG00000168894</v>
      </c>
      <c r="M338" s="12" t="s">
        <v>16368</v>
      </c>
      <c r="N338" s="12" t="s">
        <v>16369</v>
      </c>
    </row>
    <row r="339" spans="1:14">
      <c r="A339" s="12" t="s">
        <v>11656</v>
      </c>
      <c r="B339" s="8">
        <v>371.98925716443199</v>
      </c>
      <c r="C339" s="12">
        <v>1090.70157359625</v>
      </c>
      <c r="D339" s="8">
        <v>-1.5519235576180199</v>
      </c>
      <c r="E339" s="12">
        <v>2.81285232377109E-3</v>
      </c>
      <c r="F339" s="8" t="s">
        <v>11657</v>
      </c>
      <c r="G339" s="12" t="s">
        <v>11658</v>
      </c>
      <c r="H339" s="12">
        <v>1</v>
      </c>
      <c r="I339" s="13" t="str">
        <f>HYPERLINK("http://www.ncbi.nlm.nih.gov/gene/101927420", "101927420")</f>
        <v>101927420</v>
      </c>
      <c r="J339" s="12" t="s">
        <v>20174</v>
      </c>
      <c r="K339" s="12" t="s">
        <v>20175</v>
      </c>
      <c r="L339" s="12" t="s">
        <v>38</v>
      </c>
      <c r="M339" s="12" t="s">
        <v>38</v>
      </c>
      <c r="N339" s="12" t="s">
        <v>38</v>
      </c>
    </row>
    <row r="340" spans="1:14">
      <c r="A340" s="12" t="s">
        <v>8518</v>
      </c>
      <c r="B340" s="8">
        <v>493.13779158873803</v>
      </c>
      <c r="C340" s="12">
        <v>1445.3276229771</v>
      </c>
      <c r="D340" s="8">
        <v>-1.5513338329798201</v>
      </c>
      <c r="E340" s="12">
        <v>1.1098627268087799E-3</v>
      </c>
      <c r="F340" s="8" t="s">
        <v>299</v>
      </c>
      <c r="G340" s="12" t="s">
        <v>300</v>
      </c>
      <c r="H340" s="12">
        <v>1</v>
      </c>
      <c r="I340" s="13" t="str">
        <f>HYPERLINK("http://www.ncbi.nlm.nih.gov/gene/3613", "3613")</f>
        <v>3613</v>
      </c>
      <c r="J340" s="13" t="str">
        <f>HYPERLINK("http://www.ncbi.nlm.nih.gov/nuccore/NM_014214", "NM_014214")</f>
        <v>NM_014214</v>
      </c>
      <c r="K340" s="12" t="s">
        <v>301</v>
      </c>
      <c r="L340" s="13" t="str">
        <f>HYPERLINK("http://asia.ensembl.org/Homo_sapiens/Gene/Summary?g=ENSG00000141401", "ENSG00000141401")</f>
        <v>ENSG00000141401</v>
      </c>
      <c r="M340" s="12" t="s">
        <v>18864</v>
      </c>
      <c r="N340" s="12" t="s">
        <v>18865</v>
      </c>
    </row>
    <row r="341" spans="1:14">
      <c r="A341" s="12" t="s">
        <v>7601</v>
      </c>
      <c r="B341" s="8">
        <v>406.64977602118802</v>
      </c>
      <c r="C341" s="12">
        <v>1189.5419827667699</v>
      </c>
      <c r="D341" s="8">
        <v>-1.5485474656279099</v>
      </c>
      <c r="E341" s="12">
        <v>2.95218617240615E-3</v>
      </c>
      <c r="F341" s="8" t="s">
        <v>7602</v>
      </c>
      <c r="G341" s="12" t="s">
        <v>7603</v>
      </c>
      <c r="H341" s="12">
        <v>1</v>
      </c>
      <c r="I341" s="13" t="str">
        <f>HYPERLINK("http://www.ncbi.nlm.nih.gov/gene/282969", "282969")</f>
        <v>282969</v>
      </c>
      <c r="J341" s="12" t="s">
        <v>18589</v>
      </c>
      <c r="K341" s="12" t="s">
        <v>18590</v>
      </c>
      <c r="L341" s="13" t="str">
        <f>HYPERLINK("http://asia.ensembl.org/Homo_sapiens/Gene/Summary?g=ENSG00000148803", "ENSG00000148803")</f>
        <v>ENSG00000148803</v>
      </c>
      <c r="M341" s="12" t="s">
        <v>18591</v>
      </c>
      <c r="N341" s="12" t="s">
        <v>18592</v>
      </c>
    </row>
    <row r="342" spans="1:14">
      <c r="A342" s="12" t="s">
        <v>9384</v>
      </c>
      <c r="B342" s="8">
        <v>90.199811617741801</v>
      </c>
      <c r="C342" s="12">
        <v>263.845145670715</v>
      </c>
      <c r="D342" s="8">
        <v>-1.5484951149620101</v>
      </c>
      <c r="E342" s="12">
        <v>1.93953721673512E-2</v>
      </c>
      <c r="F342" s="8" t="s">
        <v>9385</v>
      </c>
      <c r="G342" s="12" t="s">
        <v>19140</v>
      </c>
      <c r="H342" s="12">
        <v>1</v>
      </c>
      <c r="I342" s="13" t="str">
        <f>HYPERLINK("http://www.ncbi.nlm.nih.gov/gene/8332", "8332")</f>
        <v>8332</v>
      </c>
      <c r="J342" s="13" t="str">
        <f>HYPERLINK("http://www.ncbi.nlm.nih.gov/nuccore/NM_003511", "NM_003511")</f>
        <v>NM_003511</v>
      </c>
      <c r="K342" s="12" t="s">
        <v>9386</v>
      </c>
      <c r="L342" s="13" t="str">
        <f>HYPERLINK("http://asia.ensembl.org/Homo_sapiens/Gene/Summary?g=ENSG00000276903", "ENSG00000276903")</f>
        <v>ENSG00000276903</v>
      </c>
      <c r="M342" s="12" t="s">
        <v>9387</v>
      </c>
      <c r="N342" s="12" t="s">
        <v>9388</v>
      </c>
    </row>
    <row r="343" spans="1:14">
      <c r="A343" s="12" t="s">
        <v>153</v>
      </c>
      <c r="B343" s="8">
        <v>5166.3189890265203</v>
      </c>
      <c r="C343" s="12">
        <v>15104.602642751701</v>
      </c>
      <c r="D343" s="8">
        <v>-1.5477796025091299</v>
      </c>
      <c r="E343" s="12">
        <v>1.1772091350857399E-3</v>
      </c>
      <c r="F343" s="8" t="s">
        <v>154</v>
      </c>
      <c r="G343" s="12" t="s">
        <v>16263</v>
      </c>
      <c r="H343" s="12">
        <v>1</v>
      </c>
      <c r="I343" s="13" t="str">
        <f>HYPERLINK("http://www.ncbi.nlm.nih.gov/gene/9326", "9326")</f>
        <v>9326</v>
      </c>
      <c r="J343" s="13" t="str">
        <f>HYPERLINK("http://www.ncbi.nlm.nih.gov/nuccore/NM_004773", "NM_004773")</f>
        <v>NM_004773</v>
      </c>
      <c r="K343" s="12" t="s">
        <v>155</v>
      </c>
      <c r="L343" s="13" t="str">
        <f>HYPERLINK("http://asia.ensembl.org/Homo_sapiens/Gene/Summary?g=ENSG00000278574", "ENSG00000278574")</f>
        <v>ENSG00000278574</v>
      </c>
      <c r="M343" s="12" t="s">
        <v>16264</v>
      </c>
      <c r="N343" s="12" t="s">
        <v>16265</v>
      </c>
    </row>
    <row r="344" spans="1:14">
      <c r="A344" s="12" t="s">
        <v>1177</v>
      </c>
      <c r="B344" s="8">
        <v>17061.8117810152</v>
      </c>
      <c r="C344" s="12">
        <v>49876.048809443397</v>
      </c>
      <c r="D344" s="8">
        <v>-1.5475763256081401</v>
      </c>
      <c r="E344" s="12">
        <v>9.7916262017726501E-4</v>
      </c>
      <c r="F344" s="8" t="s">
        <v>1178</v>
      </c>
      <c r="G344" s="12" t="s">
        <v>1179</v>
      </c>
      <c r="H344" s="12">
        <v>1</v>
      </c>
      <c r="I344" s="13" t="str">
        <f>HYPERLINK("http://www.ncbi.nlm.nih.gov/gene/64975", "64975")</f>
        <v>64975</v>
      </c>
      <c r="J344" s="13" t="str">
        <f>HYPERLINK("http://www.ncbi.nlm.nih.gov/nuccore/NM_032477", "NM_032477")</f>
        <v>NM_032477</v>
      </c>
      <c r="K344" s="12" t="s">
        <v>1180</v>
      </c>
      <c r="L344" s="13" t="str">
        <f>HYPERLINK("http://asia.ensembl.org/Homo_sapiens/Gene/Summary?g=ENSG00000182154", "ENSG00000182154")</f>
        <v>ENSG00000182154</v>
      </c>
      <c r="M344" s="12" t="s">
        <v>1181</v>
      </c>
      <c r="N344" s="12" t="s">
        <v>1182</v>
      </c>
    </row>
    <row r="345" spans="1:14">
      <c r="A345" s="12" t="s">
        <v>11304</v>
      </c>
      <c r="B345" s="8">
        <v>26793.023876296898</v>
      </c>
      <c r="C345" s="12">
        <v>78222.056475672594</v>
      </c>
      <c r="D345" s="8">
        <v>-1.5457180515778499</v>
      </c>
      <c r="E345" s="12">
        <v>4.6172953036311198E-3</v>
      </c>
      <c r="F345" s="8" t="s">
        <v>10377</v>
      </c>
      <c r="G345" s="12" t="s">
        <v>10378</v>
      </c>
      <c r="H345" s="12">
        <v>1</v>
      </c>
      <c r="I345" s="13" t="str">
        <f>HYPERLINK("http://www.ncbi.nlm.nih.gov/gene/401115", "401115")</f>
        <v>401115</v>
      </c>
      <c r="J345" s="12" t="s">
        <v>20044</v>
      </c>
      <c r="K345" s="12" t="s">
        <v>20045</v>
      </c>
      <c r="L345" s="13" t="str">
        <f>HYPERLINK("http://asia.ensembl.org/Homo_sapiens/Gene/Summary?g=ENSG00000243449", "ENSG00000243449")</f>
        <v>ENSG00000243449</v>
      </c>
      <c r="M345" s="12" t="s">
        <v>20046</v>
      </c>
      <c r="N345" s="12" t="s">
        <v>20047</v>
      </c>
    </row>
    <row r="346" spans="1:14">
      <c r="A346" s="12" t="s">
        <v>3899</v>
      </c>
      <c r="B346" s="8">
        <v>338.91949042219898</v>
      </c>
      <c r="C346" s="12">
        <v>989.25411681172204</v>
      </c>
      <c r="D346" s="8">
        <v>-1.54539855899715</v>
      </c>
      <c r="E346" s="12">
        <v>2.6913033200822101E-2</v>
      </c>
      <c r="F346" s="8" t="s">
        <v>3900</v>
      </c>
      <c r="G346" s="12" t="s">
        <v>3901</v>
      </c>
      <c r="H346" s="12">
        <v>1</v>
      </c>
      <c r="I346" s="13" t="str">
        <f>HYPERLINK("http://www.ncbi.nlm.nih.gov/gene/10485", "10485")</f>
        <v>10485</v>
      </c>
      <c r="J346" s="13" t="str">
        <f>HYPERLINK("http://www.ncbi.nlm.nih.gov/nuccore/NM_006365", "NM_006365")</f>
        <v>NM_006365</v>
      </c>
      <c r="K346" s="12" t="s">
        <v>3902</v>
      </c>
      <c r="L346" s="13" t="str">
        <f>HYPERLINK("http://asia.ensembl.org/Homo_sapiens/Gene/Summary?g=ENSG00000125462", "ENSG00000125462")</f>
        <v>ENSG00000125462</v>
      </c>
      <c r="M346" s="12" t="s">
        <v>17466</v>
      </c>
      <c r="N346" s="12" t="s">
        <v>17467</v>
      </c>
    </row>
    <row r="347" spans="1:14">
      <c r="A347" s="12" t="s">
        <v>3856</v>
      </c>
      <c r="B347" s="8">
        <v>221.94506797456</v>
      </c>
      <c r="C347" s="12">
        <v>647.29364733005002</v>
      </c>
      <c r="D347" s="8">
        <v>-1.5442176953478</v>
      </c>
      <c r="E347" s="12">
        <v>2.7475450201673898E-2</v>
      </c>
      <c r="F347" s="8" t="s">
        <v>3857</v>
      </c>
      <c r="G347" s="12" t="s">
        <v>3858</v>
      </c>
      <c r="H347" s="12">
        <v>1</v>
      </c>
      <c r="I347" s="13" t="str">
        <f>HYPERLINK("http://www.ncbi.nlm.nih.gov/gene/163059", "163059")</f>
        <v>163059</v>
      </c>
      <c r="J347" s="13" t="str">
        <f>HYPERLINK("http://www.ncbi.nlm.nih.gov/nuccore/NM_001080411", "NM_001080411")</f>
        <v>NM_001080411</v>
      </c>
      <c r="K347" s="12" t="s">
        <v>3859</v>
      </c>
      <c r="L347" s="13" t="str">
        <f>HYPERLINK("http://asia.ensembl.org/Homo_sapiens/Gene/Summary?g=ENSG00000197647", "ENSG00000197647")</f>
        <v>ENSG00000197647</v>
      </c>
      <c r="M347" s="12" t="s">
        <v>17450</v>
      </c>
      <c r="N347" s="12" t="s">
        <v>17451</v>
      </c>
    </row>
    <row r="348" spans="1:14">
      <c r="A348" s="12" t="s">
        <v>6313</v>
      </c>
      <c r="B348" s="8">
        <v>7922.3843632088501</v>
      </c>
      <c r="C348" s="12">
        <v>23088.043178771099</v>
      </c>
      <c r="D348" s="8">
        <v>-1.54313930104901</v>
      </c>
      <c r="E348" s="12">
        <v>2.2853849034054799E-3</v>
      </c>
      <c r="F348" s="8" t="s">
        <v>6314</v>
      </c>
      <c r="G348" s="12" t="s">
        <v>3933</v>
      </c>
      <c r="H348" s="12">
        <v>1</v>
      </c>
      <c r="I348" s="13" t="str">
        <f>HYPERLINK("http://www.ncbi.nlm.nih.gov/gene/11345", "11345")</f>
        <v>11345</v>
      </c>
      <c r="J348" s="13" t="str">
        <f>HYPERLINK("http://www.ncbi.nlm.nih.gov/nuccore/NM_007285", "NM_007285")</f>
        <v>NM_007285</v>
      </c>
      <c r="K348" s="12" t="s">
        <v>6315</v>
      </c>
      <c r="L348" s="13" t="str">
        <f>HYPERLINK("http://asia.ensembl.org/Homo_sapiens/Gene/Summary?g=ENSG00000034713", "ENSG00000034713")</f>
        <v>ENSG00000034713</v>
      </c>
      <c r="M348" s="12" t="s">
        <v>18118</v>
      </c>
      <c r="N348" s="12" t="s">
        <v>18119</v>
      </c>
    </row>
    <row r="349" spans="1:14">
      <c r="A349" s="12" t="s">
        <v>10232</v>
      </c>
      <c r="B349" s="8">
        <v>11737.182804640701</v>
      </c>
      <c r="C349" s="12">
        <v>34183.105554344998</v>
      </c>
      <c r="D349" s="8">
        <v>-1.5421973028043501</v>
      </c>
      <c r="E349" s="12">
        <v>1.57847449756395E-3</v>
      </c>
      <c r="F349" s="8" t="s">
        <v>10233</v>
      </c>
      <c r="G349" s="12" t="s">
        <v>19610</v>
      </c>
      <c r="H349" s="12">
        <v>1</v>
      </c>
      <c r="I349" s="13" t="str">
        <f>HYPERLINK("http://www.ncbi.nlm.nih.gov/gene/514", "514")</f>
        <v>514</v>
      </c>
      <c r="J349" s="13" t="str">
        <f>HYPERLINK("http://www.ncbi.nlm.nih.gov/nuccore/NM_006886", "NM_006886")</f>
        <v>NM_006886</v>
      </c>
      <c r="K349" s="12" t="s">
        <v>10234</v>
      </c>
      <c r="L349" s="13" t="str">
        <f>HYPERLINK("http://asia.ensembl.org/Homo_sapiens/Gene/Summary?g=ENSG00000124172", "ENSG00000124172")</f>
        <v>ENSG00000124172</v>
      </c>
      <c r="M349" s="12" t="s">
        <v>19611</v>
      </c>
      <c r="N349" s="12" t="s">
        <v>19612</v>
      </c>
    </row>
    <row r="350" spans="1:14">
      <c r="A350" s="12" t="s">
        <v>3145</v>
      </c>
      <c r="B350" s="8">
        <v>62.5660073971953</v>
      </c>
      <c r="C350" s="12">
        <v>181.985198074837</v>
      </c>
      <c r="D350" s="8">
        <v>-1.5403701647475401</v>
      </c>
      <c r="E350" s="12">
        <v>8.8571006824501202E-4</v>
      </c>
      <c r="F350" s="8" t="s">
        <v>3146</v>
      </c>
      <c r="G350" s="12" t="s">
        <v>3147</v>
      </c>
      <c r="H350" s="12">
        <v>1</v>
      </c>
      <c r="I350" s="13" t="str">
        <f>HYPERLINK("http://www.ncbi.nlm.nih.gov/gene/53820", "53820")</f>
        <v>53820</v>
      </c>
      <c r="J350" s="13" t="str">
        <f>HYPERLINK("http://www.ncbi.nlm.nih.gov/nuccore/NM_018962", "NM_018962")</f>
        <v>NM_018962</v>
      </c>
      <c r="K350" s="12" t="s">
        <v>3148</v>
      </c>
      <c r="L350" s="13" t="str">
        <f>HYPERLINK("http://asia.ensembl.org/Homo_sapiens/Gene/Summary?g=ENSG00000183145", "ENSG00000183145")</f>
        <v>ENSG00000183145</v>
      </c>
      <c r="M350" s="12" t="s">
        <v>17217</v>
      </c>
      <c r="N350" s="12" t="s">
        <v>3149</v>
      </c>
    </row>
    <row r="351" spans="1:14">
      <c r="A351" s="12" t="s">
        <v>1368</v>
      </c>
      <c r="B351" s="8">
        <v>13498.775630648801</v>
      </c>
      <c r="C351" s="12">
        <v>39204.916774705198</v>
      </c>
      <c r="D351" s="8">
        <v>-1.53820603971932</v>
      </c>
      <c r="E351" s="12">
        <v>3.0150886534572301E-3</v>
      </c>
      <c r="F351" s="8" t="s">
        <v>1369</v>
      </c>
      <c r="G351" s="12" t="s">
        <v>1370</v>
      </c>
      <c r="H351" s="12">
        <v>1</v>
      </c>
      <c r="I351" s="13" t="str">
        <f>HYPERLINK("http://www.ncbi.nlm.nih.gov/gene/54849", "54849")</f>
        <v>54849</v>
      </c>
      <c r="J351" s="12" t="s">
        <v>16590</v>
      </c>
      <c r="K351" s="12" t="s">
        <v>16591</v>
      </c>
      <c r="L351" s="13" t="str">
        <f>HYPERLINK("http://asia.ensembl.org/Homo_sapiens/Gene/Summary?g=ENSG00000140995", "ENSG00000140995")</f>
        <v>ENSG00000140995</v>
      </c>
      <c r="M351" s="12" t="s">
        <v>16592</v>
      </c>
      <c r="N351" s="12" t="s">
        <v>16593</v>
      </c>
    </row>
    <row r="352" spans="1:14">
      <c r="A352" s="12" t="s">
        <v>11584</v>
      </c>
      <c r="B352" s="8">
        <v>164.032268530284</v>
      </c>
      <c r="C352" s="12">
        <v>476.13424060475103</v>
      </c>
      <c r="D352" s="8">
        <v>-1.5373887316219501</v>
      </c>
      <c r="E352" s="12">
        <v>2.2475273780402601E-2</v>
      </c>
      <c r="F352" s="8" t="s">
        <v>11585</v>
      </c>
      <c r="G352" s="12" t="s">
        <v>11586</v>
      </c>
      <c r="H352" s="12">
        <v>1</v>
      </c>
      <c r="I352" s="13" t="str">
        <f>HYPERLINK("http://www.ncbi.nlm.nih.gov/gene/729159", "729159")</f>
        <v>729159</v>
      </c>
      <c r="J352" s="13" t="str">
        <f>HYPERLINK("http://www.ncbi.nlm.nih.gov/nuccore/NM_001282301", "NM_001282301")</f>
        <v>NM_001282301</v>
      </c>
      <c r="K352" s="12" t="s">
        <v>11587</v>
      </c>
      <c r="L352" s="12" t="s">
        <v>38</v>
      </c>
      <c r="M352" s="12" t="s">
        <v>38</v>
      </c>
      <c r="N352" s="12" t="s">
        <v>38</v>
      </c>
    </row>
    <row r="353" spans="1:14">
      <c r="A353" s="12" t="s">
        <v>5143</v>
      </c>
      <c r="B353" s="8">
        <v>3206.96081125507</v>
      </c>
      <c r="C353" s="12">
        <v>9306.1699218721205</v>
      </c>
      <c r="D353" s="8">
        <v>-1.5369808052882099</v>
      </c>
      <c r="E353" s="12">
        <v>1.28480880703928E-2</v>
      </c>
      <c r="F353" s="8" t="s">
        <v>5144</v>
      </c>
      <c r="G353" s="12" t="s">
        <v>17803</v>
      </c>
      <c r="H353" s="12">
        <v>1</v>
      </c>
      <c r="I353" s="13" t="str">
        <f>HYPERLINK("http://www.ncbi.nlm.nih.gov/gene/501", "501")</f>
        <v>501</v>
      </c>
      <c r="J353" s="12" t="s">
        <v>17804</v>
      </c>
      <c r="K353" s="12" t="s">
        <v>17805</v>
      </c>
      <c r="L353" s="13" t="str">
        <f>HYPERLINK("http://asia.ensembl.org/Homo_sapiens/Gene/Summary?g=ENSG00000164904", "ENSG00000164904")</f>
        <v>ENSG00000164904</v>
      </c>
      <c r="M353" s="12" t="s">
        <v>17806</v>
      </c>
      <c r="N353" s="12" t="s">
        <v>17807</v>
      </c>
    </row>
    <row r="354" spans="1:14">
      <c r="A354" s="12" t="s">
        <v>9059</v>
      </c>
      <c r="B354" s="8">
        <v>41364.323232053699</v>
      </c>
      <c r="C354" s="12">
        <v>119966.20029896501</v>
      </c>
      <c r="D354" s="8">
        <v>-1.53616910977981</v>
      </c>
      <c r="E354" s="12">
        <v>1.98762792119128E-3</v>
      </c>
      <c r="F354" s="8" t="s">
        <v>5947</v>
      </c>
      <c r="G354" s="12" t="s">
        <v>5948</v>
      </c>
      <c r="H354" s="12">
        <v>1</v>
      </c>
      <c r="I354" s="13" t="str">
        <f>HYPERLINK("http://www.ncbi.nlm.nih.gov/gene/746", "746")</f>
        <v>746</v>
      </c>
      <c r="J354" s="13" t="str">
        <f>HYPERLINK("http://www.ncbi.nlm.nih.gov/nuccore/NM_014206", "NM_014206")</f>
        <v>NM_014206</v>
      </c>
      <c r="K354" s="12" t="s">
        <v>5949</v>
      </c>
      <c r="L354" s="13" t="str">
        <f>HYPERLINK("http://asia.ensembl.org/Homo_sapiens/Gene/Summary?g=ENSG00000134825", "ENSG00000134825")</f>
        <v>ENSG00000134825</v>
      </c>
      <c r="M354" s="12" t="s">
        <v>18022</v>
      </c>
      <c r="N354" s="12" t="s">
        <v>18023</v>
      </c>
    </row>
    <row r="355" spans="1:14">
      <c r="A355" s="12" t="s">
        <v>4106</v>
      </c>
      <c r="B355" s="8">
        <v>20738.9752632745</v>
      </c>
      <c r="C355" s="12">
        <v>60144.371045309403</v>
      </c>
      <c r="D355" s="8">
        <v>-1.5360851101753199</v>
      </c>
      <c r="E355" s="12">
        <v>6.0914225130826796E-3</v>
      </c>
      <c r="F355" s="8" t="s">
        <v>4107</v>
      </c>
      <c r="G355" s="12" t="s">
        <v>4108</v>
      </c>
      <c r="H355" s="12">
        <v>1</v>
      </c>
      <c r="I355" s="13" t="str">
        <f>HYPERLINK("http://www.ncbi.nlm.nih.gov/gene/65003", "65003")</f>
        <v>65003</v>
      </c>
      <c r="J355" s="12" t="s">
        <v>17556</v>
      </c>
      <c r="K355" s="12" t="s">
        <v>17557</v>
      </c>
      <c r="L355" s="13" t="str">
        <f>HYPERLINK("http://asia.ensembl.org/Homo_sapiens/Gene/Summary?g=ENSG00000174547", "ENSG00000174547")</f>
        <v>ENSG00000174547</v>
      </c>
      <c r="M355" s="12" t="s">
        <v>17558</v>
      </c>
      <c r="N355" s="12" t="s">
        <v>17559</v>
      </c>
    </row>
    <row r="356" spans="1:14">
      <c r="A356" s="12" t="s">
        <v>7199</v>
      </c>
      <c r="B356" s="8">
        <v>66.6062876242718</v>
      </c>
      <c r="C356" s="12">
        <v>193.10141884523901</v>
      </c>
      <c r="D356" s="8">
        <v>-1.5356284857240099</v>
      </c>
      <c r="E356" s="12">
        <v>3.20660286046681E-3</v>
      </c>
      <c r="F356" s="8" t="s">
        <v>7200</v>
      </c>
      <c r="G356" s="12" t="s">
        <v>7201</v>
      </c>
      <c r="H356" s="12">
        <v>1</v>
      </c>
      <c r="I356" s="13" t="str">
        <f>HYPERLINK("http://www.ncbi.nlm.nih.gov/gene/2272", "2272")</f>
        <v>2272</v>
      </c>
      <c r="J356" s="12" t="s">
        <v>18413</v>
      </c>
      <c r="K356" s="12" t="s">
        <v>18414</v>
      </c>
      <c r="L356" s="13" t="str">
        <f>HYPERLINK("http://asia.ensembl.org/Homo_sapiens/Gene/Summary?g=ENSG00000189283", "ENSG00000189283")</f>
        <v>ENSG00000189283</v>
      </c>
      <c r="M356" s="12" t="s">
        <v>18415</v>
      </c>
      <c r="N356" s="12" t="s">
        <v>18416</v>
      </c>
    </row>
    <row r="357" spans="1:14">
      <c r="A357" s="12" t="s">
        <v>1213</v>
      </c>
      <c r="B357" s="8">
        <v>33497.902187267799</v>
      </c>
      <c r="C357" s="12">
        <v>97108.378772406795</v>
      </c>
      <c r="D357" s="8">
        <v>-1.5355250312900699</v>
      </c>
      <c r="E357" s="12">
        <v>2.5169422523214501E-3</v>
      </c>
      <c r="F357" s="8" t="s">
        <v>1214</v>
      </c>
      <c r="G357" s="12" t="s">
        <v>1215</v>
      </c>
      <c r="H357" s="12">
        <v>1</v>
      </c>
      <c r="I357" s="13" t="str">
        <f>HYPERLINK("http://www.ncbi.nlm.nih.gov/gene/127687", "127687")</f>
        <v>127687</v>
      </c>
      <c r="J357" s="12" t="s">
        <v>16539</v>
      </c>
      <c r="K357" s="12" t="s">
        <v>16540</v>
      </c>
      <c r="L357" s="13" t="str">
        <f>HYPERLINK("http://asia.ensembl.org/Homo_sapiens/Gene/Summary?g=ENSG00000197982", "ENSG00000197982")</f>
        <v>ENSG00000197982</v>
      </c>
      <c r="M357" s="12" t="s">
        <v>16541</v>
      </c>
      <c r="N357" s="12" t="s">
        <v>16542</v>
      </c>
    </row>
    <row r="358" spans="1:14">
      <c r="A358" s="12" t="s">
        <v>8467</v>
      </c>
      <c r="B358" s="8">
        <v>459.26536075874202</v>
      </c>
      <c r="C358" s="12">
        <v>1330.6845833141999</v>
      </c>
      <c r="D358" s="8">
        <v>-1.5347687647002799</v>
      </c>
      <c r="E358" s="12">
        <v>1.99585044234099E-5</v>
      </c>
      <c r="F358" s="8" t="s">
        <v>2673</v>
      </c>
      <c r="G358" s="12" t="s">
        <v>17070</v>
      </c>
      <c r="H358" s="12">
        <v>1</v>
      </c>
      <c r="I358" s="13" t="str">
        <f>HYPERLINK("http://www.ncbi.nlm.nih.gov/gene/5176", "5176")</f>
        <v>5176</v>
      </c>
      <c r="J358" s="13" t="str">
        <f>HYPERLINK("http://www.ncbi.nlm.nih.gov/nuccore/NM_002615", "NM_002615")</f>
        <v>NM_002615</v>
      </c>
      <c r="K358" s="12" t="s">
        <v>2674</v>
      </c>
      <c r="L358" s="13" t="str">
        <f>HYPERLINK("http://asia.ensembl.org/Homo_sapiens/Gene/Summary?g=ENSG00000132386", "ENSG00000132386")</f>
        <v>ENSG00000132386</v>
      </c>
      <c r="M358" s="12" t="s">
        <v>17071</v>
      </c>
      <c r="N358" s="12" t="s">
        <v>17072</v>
      </c>
    </row>
    <row r="359" spans="1:14">
      <c r="A359" s="12" t="s">
        <v>5566</v>
      </c>
      <c r="B359" s="8">
        <v>1377.99773902467</v>
      </c>
      <c r="C359" s="12">
        <v>3991.8374442958798</v>
      </c>
      <c r="D359" s="8">
        <v>-1.5344794514923299</v>
      </c>
      <c r="E359" s="12">
        <v>1.20975544137998E-5</v>
      </c>
      <c r="F359" s="8" t="s">
        <v>5567</v>
      </c>
      <c r="G359" s="12" t="s">
        <v>5568</v>
      </c>
      <c r="H359" s="12">
        <v>1</v>
      </c>
      <c r="I359" s="13" t="str">
        <f>HYPERLINK("http://www.ncbi.nlm.nih.gov/gene/84817", "84817")</f>
        <v>84817</v>
      </c>
      <c r="J359" s="13" t="str">
        <f>HYPERLINK("http://www.ncbi.nlm.nih.gov/nuccore/NM_032731", "NM_032731")</f>
        <v>NM_032731</v>
      </c>
      <c r="K359" s="12" t="s">
        <v>5569</v>
      </c>
      <c r="L359" s="13" t="str">
        <f>HYPERLINK("http://asia.ensembl.org/Homo_sapiens/Gene/Summary?g=ENSG00000129235", "ENSG00000129235")</f>
        <v>ENSG00000129235</v>
      </c>
      <c r="M359" s="12" t="s">
        <v>17903</v>
      </c>
      <c r="N359" s="12" t="s">
        <v>17904</v>
      </c>
    </row>
    <row r="360" spans="1:14">
      <c r="A360" s="12" t="s">
        <v>7181</v>
      </c>
      <c r="B360" s="8">
        <v>69283.001746717899</v>
      </c>
      <c r="C360" s="12">
        <v>200631.02506600501</v>
      </c>
      <c r="D360" s="8">
        <v>-1.5339713752966999</v>
      </c>
      <c r="E360" s="12">
        <v>6.7522175904007799E-3</v>
      </c>
      <c r="F360" s="8" t="s">
        <v>7182</v>
      </c>
      <c r="G360" s="12" t="s">
        <v>7183</v>
      </c>
      <c r="H360" s="12">
        <v>1</v>
      </c>
      <c r="I360" s="13" t="str">
        <f>HYPERLINK("http://www.ncbi.nlm.nih.gov/gene/7295", "7295")</f>
        <v>7295</v>
      </c>
      <c r="J360" s="12" t="s">
        <v>18402</v>
      </c>
      <c r="K360" s="12" t="s">
        <v>18403</v>
      </c>
      <c r="L360" s="13" t="str">
        <f>HYPERLINK("http://asia.ensembl.org/Homo_sapiens/Gene/Summary?g=ENSG00000136810", "ENSG00000136810")</f>
        <v>ENSG00000136810</v>
      </c>
      <c r="M360" s="12" t="s">
        <v>18404</v>
      </c>
      <c r="N360" s="12" t="s">
        <v>18405</v>
      </c>
    </row>
    <row r="361" spans="1:14">
      <c r="A361" s="12" t="s">
        <v>3436</v>
      </c>
      <c r="B361" s="8">
        <v>279.44519821659901</v>
      </c>
      <c r="C361" s="12">
        <v>808.13058766706797</v>
      </c>
      <c r="D361" s="8">
        <v>-1.5320230552115499</v>
      </c>
      <c r="E361" s="12">
        <v>1.1315539615700599E-5</v>
      </c>
      <c r="F361" s="8" t="s">
        <v>3437</v>
      </c>
      <c r="G361" s="12" t="s">
        <v>3438</v>
      </c>
      <c r="H361" s="12">
        <v>1</v>
      </c>
      <c r="I361" s="13" t="str">
        <f>HYPERLINK("http://www.ncbi.nlm.nih.gov/gene/25840", "25840")</f>
        <v>25840</v>
      </c>
      <c r="J361" s="13" t="str">
        <f>HYPERLINK("http://www.ncbi.nlm.nih.gov/nuccore/NM_014033", "NM_014033")</f>
        <v>NM_014033</v>
      </c>
      <c r="K361" s="12" t="s">
        <v>3439</v>
      </c>
      <c r="L361" s="13" t="str">
        <f>HYPERLINK("http://asia.ensembl.org/Homo_sapiens/Gene/Summary?g=ENSG00000185432", "ENSG00000185432")</f>
        <v>ENSG00000185432</v>
      </c>
      <c r="M361" s="12" t="s">
        <v>17303</v>
      </c>
      <c r="N361" s="12" t="s">
        <v>17304</v>
      </c>
    </row>
    <row r="362" spans="1:14">
      <c r="A362" s="12" t="s">
        <v>3008</v>
      </c>
      <c r="B362" s="8">
        <v>21691.109783344498</v>
      </c>
      <c r="C362" s="12">
        <v>62613.968333458703</v>
      </c>
      <c r="D362" s="8">
        <v>-1.52938067132811</v>
      </c>
      <c r="E362" s="12">
        <v>4.1368073093782202E-3</v>
      </c>
      <c r="F362" s="8" t="s">
        <v>3009</v>
      </c>
      <c r="G362" s="12" t="s">
        <v>17166</v>
      </c>
      <c r="H362" s="12">
        <v>1</v>
      </c>
      <c r="I362" s="13" t="str">
        <f>HYPERLINK("http://www.ncbi.nlm.nih.gov/gene/9551", "9551")</f>
        <v>9551</v>
      </c>
      <c r="J362" s="12" t="s">
        <v>17167</v>
      </c>
      <c r="K362" s="12" t="s">
        <v>17168</v>
      </c>
      <c r="L362" s="13" t="str">
        <f>HYPERLINK("http://asia.ensembl.org/Homo_sapiens/Gene/Summary?g=ENSG00000241468", "ENSG00000241468")</f>
        <v>ENSG00000241468</v>
      </c>
      <c r="M362" s="12" t="s">
        <v>17169</v>
      </c>
      <c r="N362" s="12" t="s">
        <v>17170</v>
      </c>
    </row>
    <row r="363" spans="1:14">
      <c r="A363" s="12" t="s">
        <v>8557</v>
      </c>
      <c r="B363" s="8">
        <v>80013.262439555096</v>
      </c>
      <c r="C363" s="12">
        <v>230930.869339653</v>
      </c>
      <c r="D363" s="8">
        <v>-1.5291499801241499</v>
      </c>
      <c r="E363" s="12">
        <v>1.0382609595908001E-3</v>
      </c>
      <c r="F363" s="8" t="s">
        <v>7235</v>
      </c>
      <c r="G363" s="12" t="s">
        <v>7236</v>
      </c>
      <c r="H363" s="12">
        <v>1</v>
      </c>
      <c r="I363" s="13" t="str">
        <f>HYPERLINK("http://www.ncbi.nlm.nih.gov/gene/1349", "1349")</f>
        <v>1349</v>
      </c>
      <c r="J363" s="13" t="str">
        <f>HYPERLINK("http://www.ncbi.nlm.nih.gov/nuccore/NM_001866", "NM_001866")</f>
        <v>NM_001866</v>
      </c>
      <c r="K363" s="12" t="s">
        <v>7237</v>
      </c>
      <c r="L363" s="13" t="str">
        <f>HYPERLINK("http://asia.ensembl.org/Homo_sapiens/Gene/Summary?g=ENSG00000131174", "ENSG00000131174")</f>
        <v>ENSG00000131174</v>
      </c>
      <c r="M363" s="12" t="s">
        <v>18442</v>
      </c>
      <c r="N363" s="12" t="s">
        <v>7238</v>
      </c>
    </row>
    <row r="364" spans="1:14">
      <c r="A364" s="12" t="s">
        <v>8537</v>
      </c>
      <c r="B364" s="8">
        <v>20431.196275011502</v>
      </c>
      <c r="C364" s="12">
        <v>58887.583561617103</v>
      </c>
      <c r="D364" s="8">
        <v>-1.52718979573309</v>
      </c>
      <c r="E364" s="12">
        <v>4.1099787139562997E-3</v>
      </c>
      <c r="F364" s="8" t="s">
        <v>4032</v>
      </c>
      <c r="G364" s="12" t="s">
        <v>4033</v>
      </c>
      <c r="H364" s="12">
        <v>1</v>
      </c>
      <c r="I364" s="13" t="str">
        <f>HYPERLINK("http://www.ncbi.nlm.nih.gov/gene/391356", "391356")</f>
        <v>391356</v>
      </c>
      <c r="J364" s="13" t="str">
        <f>HYPERLINK("http://www.ncbi.nlm.nih.gov/nuccore/NM_001013663", "NM_001013663")</f>
        <v>NM_001013663</v>
      </c>
      <c r="K364" s="12" t="s">
        <v>4034</v>
      </c>
      <c r="L364" s="13" t="str">
        <f>HYPERLINK("http://asia.ensembl.org/Homo_sapiens/Gene/Summary?g=ENSG00000184924", "ENSG00000184924")</f>
        <v>ENSG00000184924</v>
      </c>
      <c r="M364" s="12" t="s">
        <v>17519</v>
      </c>
      <c r="N364" s="12" t="s">
        <v>4035</v>
      </c>
    </row>
    <row r="365" spans="1:14">
      <c r="A365" s="12" t="s">
        <v>7242</v>
      </c>
      <c r="B365" s="8">
        <v>5188.9861713870196</v>
      </c>
      <c r="C365" s="12">
        <v>14945.649507063101</v>
      </c>
      <c r="D365" s="8">
        <v>-1.52620099870361</v>
      </c>
      <c r="E365" s="12">
        <v>2.9834806094696498E-3</v>
      </c>
      <c r="F365" s="8" t="s">
        <v>7243</v>
      </c>
      <c r="G365" s="12" t="s">
        <v>18446</v>
      </c>
      <c r="H365" s="12">
        <v>1</v>
      </c>
      <c r="I365" s="13" t="str">
        <f>HYPERLINK("http://www.ncbi.nlm.nih.gov/gene/192286", "192286")</f>
        <v>192286</v>
      </c>
      <c r="J365" s="13" t="str">
        <f>HYPERLINK("http://www.ncbi.nlm.nih.gov/nuccore/NM_138820", "NM_138820")</f>
        <v>NM_138820</v>
      </c>
      <c r="K365" s="12" t="s">
        <v>7244</v>
      </c>
      <c r="L365" s="13" t="str">
        <f>HYPERLINK("http://asia.ensembl.org/Homo_sapiens/Gene/Summary?g=ENSG00000146066", "ENSG00000146066")</f>
        <v>ENSG00000146066</v>
      </c>
      <c r="M365" s="12" t="s">
        <v>7245</v>
      </c>
      <c r="N365" s="12" t="s">
        <v>7246</v>
      </c>
    </row>
    <row r="366" spans="1:14">
      <c r="A366" s="12" t="s">
        <v>6557</v>
      </c>
      <c r="B366" s="8">
        <v>134.69755472946301</v>
      </c>
      <c r="C366" s="12">
        <v>387.58321072300203</v>
      </c>
      <c r="D366" s="8">
        <v>-1.52478241697684</v>
      </c>
      <c r="E366" s="12">
        <v>1.34464402558803E-3</v>
      </c>
      <c r="F366" s="8" t="s">
        <v>6558</v>
      </c>
      <c r="G366" s="12" t="s">
        <v>6559</v>
      </c>
      <c r="H366" s="12">
        <v>1</v>
      </c>
      <c r="I366" s="13" t="str">
        <f>HYPERLINK("http://www.ncbi.nlm.nih.gov/gene/25934", "25934")</f>
        <v>25934</v>
      </c>
      <c r="J366" s="13" t="str">
        <f>HYPERLINK("http://www.ncbi.nlm.nih.gov/nuccore/NM_015469", "NM_015469")</f>
        <v>NM_015469</v>
      </c>
      <c r="K366" s="12" t="s">
        <v>6560</v>
      </c>
      <c r="L366" s="13" t="str">
        <f>HYPERLINK("http://asia.ensembl.org/Homo_sapiens/Gene/Summary?g=ENSG00000136783", "ENSG00000136783")</f>
        <v>ENSG00000136783</v>
      </c>
      <c r="M366" s="12" t="s">
        <v>18209</v>
      </c>
      <c r="N366" s="12" t="s">
        <v>6561</v>
      </c>
    </row>
    <row r="367" spans="1:14">
      <c r="A367" s="12" t="s">
        <v>4101</v>
      </c>
      <c r="B367" s="8">
        <v>2866.8101302769701</v>
      </c>
      <c r="C367" s="12">
        <v>8236.9921084382604</v>
      </c>
      <c r="D367" s="8">
        <v>-1.5226712489241501</v>
      </c>
      <c r="E367" s="12">
        <v>6.4579947319997402E-3</v>
      </c>
      <c r="F367" s="8" t="s">
        <v>4102</v>
      </c>
      <c r="G367" s="12" t="s">
        <v>4103</v>
      </c>
      <c r="H367" s="12">
        <v>1</v>
      </c>
      <c r="I367" s="13" t="str">
        <f>HYPERLINK("http://www.ncbi.nlm.nih.gov/gene/6282", "6282")</f>
        <v>6282</v>
      </c>
      <c r="J367" s="13" t="str">
        <f>HYPERLINK("http://www.ncbi.nlm.nih.gov/nuccore/NM_005620", "NM_005620")</f>
        <v>NM_005620</v>
      </c>
      <c r="K367" s="12" t="s">
        <v>4104</v>
      </c>
      <c r="L367" s="13" t="str">
        <f>HYPERLINK("http://asia.ensembl.org/Homo_sapiens/Gene/Summary?g=ENSG00000163191", "ENSG00000163191")</f>
        <v>ENSG00000163191</v>
      </c>
      <c r="M367" s="12" t="s">
        <v>17555</v>
      </c>
      <c r="N367" s="12" t="s">
        <v>4105</v>
      </c>
    </row>
    <row r="368" spans="1:14">
      <c r="A368" s="12" t="s">
        <v>9012</v>
      </c>
      <c r="B368" s="8">
        <v>77.876353873687805</v>
      </c>
      <c r="C368" s="12">
        <v>223.72369219170699</v>
      </c>
      <c r="D368" s="8">
        <v>-1.5224608003462501</v>
      </c>
      <c r="E368" s="12">
        <v>2.5872613123497099E-3</v>
      </c>
      <c r="F368" s="8" t="s">
        <v>9013</v>
      </c>
      <c r="G368" s="12" t="s">
        <v>19040</v>
      </c>
      <c r="H368" s="12">
        <v>1</v>
      </c>
      <c r="I368" s="13" t="str">
        <f>HYPERLINK("http://www.ncbi.nlm.nih.gov/gene/401612", "401612")</f>
        <v>401612</v>
      </c>
      <c r="J368" s="13" t="str">
        <f>HYPERLINK("http://www.ncbi.nlm.nih.gov/nuccore/NM_001012755", "NM_001012755")</f>
        <v>NM_001012755</v>
      </c>
      <c r="K368" s="12" t="s">
        <v>9014</v>
      </c>
      <c r="L368" s="13" t="str">
        <f>HYPERLINK("http://asia.ensembl.org/Homo_sapiens/Gene/Summary?g=ENSG00000269743", "ENSG00000269743")</f>
        <v>ENSG00000269743</v>
      </c>
      <c r="M368" s="12" t="s">
        <v>19041</v>
      </c>
      <c r="N368" s="12" t="s">
        <v>9015</v>
      </c>
    </row>
    <row r="369" spans="1:14">
      <c r="A369" s="12" t="s">
        <v>2003</v>
      </c>
      <c r="B369" s="8">
        <v>16421.216384519601</v>
      </c>
      <c r="C369" s="12">
        <v>47145.909426306403</v>
      </c>
      <c r="D369" s="8">
        <v>-1.5215716049458601</v>
      </c>
      <c r="E369" s="12">
        <v>1.43453634351416E-3</v>
      </c>
      <c r="F369" s="8" t="s">
        <v>2004</v>
      </c>
      <c r="G369" s="12" t="s">
        <v>2005</v>
      </c>
      <c r="H369" s="12">
        <v>1</v>
      </c>
      <c r="I369" s="13" t="str">
        <f>HYPERLINK("http://www.ncbi.nlm.nih.gov/gene/54958", "54958")</f>
        <v>54958</v>
      </c>
      <c r="J369" s="13" t="str">
        <f>HYPERLINK("http://www.ncbi.nlm.nih.gov/nuccore/NM_017854", "NM_017854")</f>
        <v>NM_017854</v>
      </c>
      <c r="K369" s="12" t="s">
        <v>2006</v>
      </c>
      <c r="L369" s="13" t="str">
        <f>HYPERLINK("http://asia.ensembl.org/Homo_sapiens/Gene/Summary?g=ENSG00000130748", "ENSG00000130748")</f>
        <v>ENSG00000130748</v>
      </c>
      <c r="M369" s="12" t="s">
        <v>2007</v>
      </c>
      <c r="N369" s="12" t="s">
        <v>2008</v>
      </c>
    </row>
    <row r="370" spans="1:14">
      <c r="A370" s="12" t="s">
        <v>7098</v>
      </c>
      <c r="B370" s="8">
        <v>1733.66884174911</v>
      </c>
      <c r="C370" s="12">
        <v>4975.1269813047002</v>
      </c>
      <c r="D370" s="8">
        <v>-1.52090500112475</v>
      </c>
      <c r="E370" s="12">
        <v>3.7025029296273702E-3</v>
      </c>
      <c r="F370" s="8" t="s">
        <v>7099</v>
      </c>
      <c r="G370" s="12" t="s">
        <v>7100</v>
      </c>
      <c r="H370" s="12">
        <v>1</v>
      </c>
      <c r="I370" s="13" t="str">
        <f>HYPERLINK("http://www.ncbi.nlm.nih.gov/gene/170463", "170463")</f>
        <v>170463</v>
      </c>
      <c r="J370" s="12" t="s">
        <v>18366</v>
      </c>
      <c r="K370" s="12" t="s">
        <v>18367</v>
      </c>
      <c r="L370" s="13" t="str">
        <f>HYPERLINK("http://asia.ensembl.org/Homo_sapiens/Gene/Summary?g=ENSG00000130511", "ENSG00000130511")</f>
        <v>ENSG00000130511</v>
      </c>
      <c r="M370" s="12" t="s">
        <v>18368</v>
      </c>
      <c r="N370" s="12" t="s">
        <v>18369</v>
      </c>
    </row>
    <row r="371" spans="1:14">
      <c r="A371" s="12" t="s">
        <v>221</v>
      </c>
      <c r="B371" s="8">
        <v>853.19552571032</v>
      </c>
      <c r="C371" s="12">
        <v>2447.88355198113</v>
      </c>
      <c r="D371" s="8">
        <v>-1.52058662426984</v>
      </c>
      <c r="E371" s="12">
        <v>6.8495521936425101E-3</v>
      </c>
      <c r="F371" s="8" t="s">
        <v>222</v>
      </c>
      <c r="G371" s="12" t="s">
        <v>223</v>
      </c>
      <c r="H371" s="12">
        <v>1</v>
      </c>
      <c r="I371" s="13" t="str">
        <f>HYPERLINK("http://www.ncbi.nlm.nih.gov/gene/3476", "3476")</f>
        <v>3476</v>
      </c>
      <c r="J371" s="13" t="str">
        <f>HYPERLINK("http://www.ncbi.nlm.nih.gov/nuccore/NM_001551", "NM_001551")</f>
        <v>NM_001551</v>
      </c>
      <c r="K371" s="12" t="s">
        <v>224</v>
      </c>
      <c r="L371" s="13" t="str">
        <f>HYPERLINK("http://asia.ensembl.org/Homo_sapiens/Gene/Summary?g=ENSG00000089289", "ENSG00000089289")</f>
        <v>ENSG00000089289</v>
      </c>
      <c r="M371" s="12" t="s">
        <v>16288</v>
      </c>
      <c r="N371" s="12" t="s">
        <v>16289</v>
      </c>
    </row>
    <row r="372" spans="1:14">
      <c r="A372" s="12" t="s">
        <v>9599</v>
      </c>
      <c r="B372" s="8">
        <v>49.999999999999901</v>
      </c>
      <c r="C372" s="12">
        <v>143.33086130656599</v>
      </c>
      <c r="D372" s="8">
        <v>-1.5193492771527899</v>
      </c>
      <c r="E372" s="12">
        <v>2.3721191576522799E-3</v>
      </c>
      <c r="F372" s="8" t="s">
        <v>7371</v>
      </c>
      <c r="G372" s="12" t="s">
        <v>19213</v>
      </c>
      <c r="H372" s="12">
        <v>1</v>
      </c>
      <c r="I372" s="13" t="str">
        <f>HYPERLINK("http://www.ncbi.nlm.nih.gov/gene/4620", "4620")</f>
        <v>4620</v>
      </c>
      <c r="J372" s="12" t="s">
        <v>19214</v>
      </c>
      <c r="K372" s="12" t="s">
        <v>19215</v>
      </c>
      <c r="L372" s="13" t="str">
        <f>HYPERLINK("http://asia.ensembl.org/Homo_sapiens/Gene/Summary?g=ENSG00000125414", "ENSG00000125414")</f>
        <v>ENSG00000125414</v>
      </c>
      <c r="M372" s="12" t="s">
        <v>19216</v>
      </c>
      <c r="N372" s="12" t="s">
        <v>19217</v>
      </c>
    </row>
    <row r="373" spans="1:14">
      <c r="A373" s="12" t="s">
        <v>5674</v>
      </c>
      <c r="B373" s="8">
        <v>999.478959592872</v>
      </c>
      <c r="C373" s="12">
        <v>2863.4177710696299</v>
      </c>
      <c r="D373" s="8">
        <v>-1.5184900724158199</v>
      </c>
      <c r="E373" s="12">
        <v>3.6303316362381699E-4</v>
      </c>
      <c r="F373" s="8" t="s">
        <v>5675</v>
      </c>
      <c r="G373" s="12" t="s">
        <v>5676</v>
      </c>
      <c r="H373" s="12">
        <v>1</v>
      </c>
      <c r="I373" s="13" t="str">
        <f>HYPERLINK("http://www.ncbi.nlm.nih.gov/gene/1628", "1628")</f>
        <v>1628</v>
      </c>
      <c r="J373" s="13" t="str">
        <f>HYPERLINK("http://www.ncbi.nlm.nih.gov/nuccore/NM_001352", "NM_001352")</f>
        <v>NM_001352</v>
      </c>
      <c r="K373" s="12" t="s">
        <v>5677</v>
      </c>
      <c r="L373" s="13" t="str">
        <f>HYPERLINK("http://asia.ensembl.org/Homo_sapiens/Gene/Summary?g=ENSG00000105516", "ENSG00000105516")</f>
        <v>ENSG00000105516</v>
      </c>
      <c r="M373" s="12" t="s">
        <v>17934</v>
      </c>
      <c r="N373" s="12" t="s">
        <v>17935</v>
      </c>
    </row>
    <row r="374" spans="1:14">
      <c r="A374" s="12" t="s">
        <v>8328</v>
      </c>
      <c r="B374" s="8">
        <v>63834.155212018799</v>
      </c>
      <c r="C374" s="12">
        <v>182866.39845229001</v>
      </c>
      <c r="D374" s="8">
        <v>-1.5183895388701001</v>
      </c>
      <c r="E374" s="12">
        <v>4.2235330784268299E-3</v>
      </c>
      <c r="F374" s="8" t="s">
        <v>8329</v>
      </c>
      <c r="G374" s="12" t="s">
        <v>18793</v>
      </c>
      <c r="H374" s="12">
        <v>1</v>
      </c>
      <c r="I374" s="13" t="str">
        <f>HYPERLINK("http://www.ncbi.nlm.nih.gov/gene/10975", "10975")</f>
        <v>10975</v>
      </c>
      <c r="J374" s="13" t="str">
        <f>HYPERLINK("http://www.ncbi.nlm.nih.gov/nuccore/NM_006830", "NM_006830")</f>
        <v>NM_006830</v>
      </c>
      <c r="K374" s="12" t="s">
        <v>8330</v>
      </c>
      <c r="L374" s="13" t="str">
        <f>HYPERLINK("http://asia.ensembl.org/Homo_sapiens/Gene/Summary?g=ENSG00000127540", "ENSG00000127540")</f>
        <v>ENSG00000127540</v>
      </c>
      <c r="M374" s="12" t="s">
        <v>18794</v>
      </c>
      <c r="N374" s="12" t="s">
        <v>18795</v>
      </c>
    </row>
    <row r="375" spans="1:14">
      <c r="A375" s="12" t="s">
        <v>11648</v>
      </c>
      <c r="B375" s="8">
        <v>88771.712533638798</v>
      </c>
      <c r="C375" s="12">
        <v>254292.070578888</v>
      </c>
      <c r="D375" s="8">
        <v>-1.51831454183571</v>
      </c>
      <c r="E375" s="12">
        <v>1.8991547204500799E-3</v>
      </c>
      <c r="F375" s="8" t="s">
        <v>11514</v>
      </c>
      <c r="G375" s="12" t="s">
        <v>11649</v>
      </c>
      <c r="H375" s="12">
        <v>1</v>
      </c>
      <c r="I375" s="13" t="str">
        <f>HYPERLINK("http://www.ncbi.nlm.nih.gov/gene/1327", "1327")</f>
        <v>1327</v>
      </c>
      <c r="J375" s="12" t="s">
        <v>20170</v>
      </c>
      <c r="K375" s="12" t="s">
        <v>20171</v>
      </c>
      <c r="L375" s="13" t="str">
        <f>HYPERLINK("http://asia.ensembl.org/Homo_sapiens/Gene/Summary?g=ENSG00000131143", "ENSG00000131143")</f>
        <v>ENSG00000131143</v>
      </c>
      <c r="M375" s="12" t="s">
        <v>20128</v>
      </c>
      <c r="N375" s="12" t="s">
        <v>20129</v>
      </c>
    </row>
    <row r="376" spans="1:14">
      <c r="A376" s="12" t="s">
        <v>10817</v>
      </c>
      <c r="B376" s="8">
        <v>1146.46920263521</v>
      </c>
      <c r="C376" s="12">
        <v>3281.2572670940499</v>
      </c>
      <c r="D376" s="8">
        <v>-1.5170511122264301</v>
      </c>
      <c r="E376" s="12">
        <v>2.8835193822715302E-3</v>
      </c>
      <c r="F376" s="8" t="s">
        <v>1225</v>
      </c>
      <c r="G376" s="12" t="s">
        <v>1226</v>
      </c>
      <c r="H376" s="12">
        <v>1</v>
      </c>
      <c r="I376" s="13" t="str">
        <f>HYPERLINK("http://www.ncbi.nlm.nih.gov/gene/51339", "51339")</f>
        <v>51339</v>
      </c>
      <c r="J376" s="12" t="s">
        <v>19863</v>
      </c>
      <c r="K376" s="12" t="s">
        <v>19864</v>
      </c>
      <c r="L376" s="13" t="str">
        <f>HYPERLINK("http://asia.ensembl.org/Homo_sapiens/Gene/Summary?g=ENSG00000165617", "ENSG00000165617")</f>
        <v>ENSG00000165617</v>
      </c>
      <c r="M376" s="12" t="s">
        <v>19865</v>
      </c>
      <c r="N376" s="12" t="s">
        <v>19866</v>
      </c>
    </row>
    <row r="377" spans="1:14">
      <c r="A377" s="12" t="s">
        <v>9953</v>
      </c>
      <c r="B377" s="8">
        <v>8805.9516921933791</v>
      </c>
      <c r="C377" s="12">
        <v>25198.547270045699</v>
      </c>
      <c r="D377" s="8">
        <v>-1.51678972777029</v>
      </c>
      <c r="E377" s="12">
        <v>2.6123835757437901E-3</v>
      </c>
      <c r="F377" s="8" t="s">
        <v>2095</v>
      </c>
      <c r="G377" s="12" t="s">
        <v>2096</v>
      </c>
      <c r="H377" s="12">
        <v>1</v>
      </c>
      <c r="I377" s="13" t="str">
        <f>HYPERLINK("http://www.ncbi.nlm.nih.gov/gene/54344", "54344")</f>
        <v>54344</v>
      </c>
      <c r="J377" s="12" t="s">
        <v>19473</v>
      </c>
      <c r="K377" s="12" t="s">
        <v>19474</v>
      </c>
      <c r="L377" s="13" t="str">
        <f>HYPERLINK("http://asia.ensembl.org/Homo_sapiens/Gene/Summary?g=ENSG00000179085", "ENSG00000179085")</f>
        <v>ENSG00000179085</v>
      </c>
      <c r="M377" s="12" t="s">
        <v>19475</v>
      </c>
      <c r="N377" s="12" t="s">
        <v>19476</v>
      </c>
    </row>
    <row r="378" spans="1:14">
      <c r="A378" s="12" t="s">
        <v>3799</v>
      </c>
      <c r="B378" s="8">
        <v>5987.8604327522698</v>
      </c>
      <c r="C378" s="12">
        <v>17117.207872988802</v>
      </c>
      <c r="D378" s="8">
        <v>-1.51533489117138</v>
      </c>
      <c r="E378" s="12">
        <v>1.5058741222772299E-3</v>
      </c>
      <c r="F378" s="8" t="s">
        <v>3800</v>
      </c>
      <c r="G378" s="12" t="s">
        <v>3801</v>
      </c>
      <c r="H378" s="12">
        <v>1</v>
      </c>
      <c r="I378" s="13" t="str">
        <f>HYPERLINK("http://www.ncbi.nlm.nih.gov/gene/116541", "116541")</f>
        <v>116541</v>
      </c>
      <c r="J378" s="13" t="str">
        <f>HYPERLINK("http://www.ncbi.nlm.nih.gov/nuccore/NM_172251", "NM_172251")</f>
        <v>NM_172251</v>
      </c>
      <c r="K378" s="12" t="s">
        <v>3802</v>
      </c>
      <c r="L378" s="13" t="str">
        <f>HYPERLINK("http://asia.ensembl.org/Homo_sapiens/Gene/Summary?g=ENSG00000183617", "ENSG00000183617")</f>
        <v>ENSG00000183617</v>
      </c>
      <c r="M378" s="12" t="s">
        <v>17424</v>
      </c>
      <c r="N378" s="12" t="s">
        <v>17425</v>
      </c>
    </row>
    <row r="379" spans="1:14">
      <c r="A379" s="12" t="s">
        <v>5243</v>
      </c>
      <c r="B379" s="8">
        <v>39790.520525949301</v>
      </c>
      <c r="C379" s="12">
        <v>113680.48708648499</v>
      </c>
      <c r="D379" s="8">
        <v>-1.51448796410853</v>
      </c>
      <c r="E379" s="12">
        <v>2.8541620368388301E-3</v>
      </c>
      <c r="F379" s="8" t="s">
        <v>5244</v>
      </c>
      <c r="G379" s="12" t="s">
        <v>17833</v>
      </c>
      <c r="H379" s="12">
        <v>1</v>
      </c>
      <c r="I379" s="13" t="str">
        <f>HYPERLINK("http://www.ncbi.nlm.nih.gov/gene/23589", "23589")</f>
        <v>23589</v>
      </c>
      <c r="J379" s="12" t="s">
        <v>17834</v>
      </c>
      <c r="K379" s="12" t="s">
        <v>17835</v>
      </c>
      <c r="L379" s="13" t="str">
        <f>HYPERLINK("http://asia.ensembl.org/Homo_sapiens/Gene/Summary?g=ENSG00000153048", "ENSG00000153048")</f>
        <v>ENSG00000153048</v>
      </c>
      <c r="M379" s="12" t="s">
        <v>17836</v>
      </c>
      <c r="N379" s="12" t="s">
        <v>17837</v>
      </c>
    </row>
    <row r="380" spans="1:14">
      <c r="A380" s="12" t="s">
        <v>10237</v>
      </c>
      <c r="B380" s="8">
        <v>20343.082923780199</v>
      </c>
      <c r="C380" s="12">
        <v>58074.700037437004</v>
      </c>
      <c r="D380" s="8">
        <v>-1.51337146616407</v>
      </c>
      <c r="E380" s="12">
        <v>2.1248314247406001E-3</v>
      </c>
      <c r="F380" s="8" t="s">
        <v>8332</v>
      </c>
      <c r="G380" s="12" t="s">
        <v>8333</v>
      </c>
      <c r="H380" s="12">
        <v>1</v>
      </c>
      <c r="I380" s="13" t="str">
        <f>HYPERLINK("http://www.ncbi.nlm.nih.gov/gene/1466", "1466")</f>
        <v>1466</v>
      </c>
      <c r="J380" s="13" t="str">
        <f>HYPERLINK("http://www.ncbi.nlm.nih.gov/nuccore/NM_001321", "NM_001321")</f>
        <v>NM_001321</v>
      </c>
      <c r="K380" s="12" t="s">
        <v>8334</v>
      </c>
      <c r="L380" s="13" t="str">
        <f>HYPERLINK("http://asia.ensembl.org/Homo_sapiens/Gene/Summary?g=ENSG00000175183", "ENSG00000175183")</f>
        <v>ENSG00000175183</v>
      </c>
      <c r="M380" s="12" t="s">
        <v>18796</v>
      </c>
      <c r="N380" s="12" t="s">
        <v>18797</v>
      </c>
    </row>
    <row r="381" spans="1:14">
      <c r="A381" s="12" t="s">
        <v>10744</v>
      </c>
      <c r="B381" s="8">
        <v>50.072210133003502</v>
      </c>
      <c r="C381" s="12">
        <v>142.56130518124201</v>
      </c>
      <c r="D381" s="8">
        <v>-1.5095004093020401</v>
      </c>
      <c r="E381" s="12">
        <v>8.7472367823656499E-4</v>
      </c>
      <c r="F381" s="8" t="s">
        <v>8098</v>
      </c>
      <c r="G381" s="12" t="s">
        <v>8099</v>
      </c>
      <c r="H381" s="12">
        <v>1</v>
      </c>
      <c r="I381" s="13" t="str">
        <f>HYPERLINK("http://www.ncbi.nlm.nih.gov/gene/644524", "644524")</f>
        <v>644524</v>
      </c>
      <c r="J381" s="13" t="str">
        <f>HYPERLINK("http://www.ncbi.nlm.nih.gov/nuccore/NM_033176", "NM_033176")</f>
        <v>NM_033176</v>
      </c>
      <c r="K381" s="12" t="s">
        <v>8100</v>
      </c>
      <c r="L381" s="13" t="str">
        <f>HYPERLINK("http://asia.ensembl.org/Homo_sapiens/Gene/Summary?g=ENSG00000125816", "ENSG00000125816")</f>
        <v>ENSG00000125816</v>
      </c>
      <c r="M381" s="12" t="s">
        <v>8101</v>
      </c>
      <c r="N381" s="12" t="s">
        <v>8102</v>
      </c>
    </row>
    <row r="382" spans="1:14">
      <c r="A382" s="12" t="s">
        <v>2370</v>
      </c>
      <c r="B382" s="8">
        <v>4108.2678131908096</v>
      </c>
      <c r="C382" s="12">
        <v>11688.9093377638</v>
      </c>
      <c r="D382" s="8">
        <v>-1.5085381845221699</v>
      </c>
      <c r="E382" s="12">
        <v>2.4886665806193998E-3</v>
      </c>
      <c r="F382" s="8" t="s">
        <v>2371</v>
      </c>
      <c r="G382" s="12" t="s">
        <v>2372</v>
      </c>
      <c r="H382" s="12">
        <v>1</v>
      </c>
      <c r="I382" s="13" t="str">
        <f>HYPERLINK("http://www.ncbi.nlm.nih.gov/gene/55194", "55194")</f>
        <v>55194</v>
      </c>
      <c r="J382" s="13" t="str">
        <f>HYPERLINK("http://www.ncbi.nlm.nih.gov/nuccore/NM_018166", "NM_018166")</f>
        <v>NM_018166</v>
      </c>
      <c r="K382" s="12" t="s">
        <v>2373</v>
      </c>
      <c r="L382" s="13" t="str">
        <f>HYPERLINK("http://asia.ensembl.org/Homo_sapiens/Gene/Summary?g=ENSG00000142694", "ENSG00000142694")</f>
        <v>ENSG00000142694</v>
      </c>
      <c r="M382" s="12" t="s">
        <v>16988</v>
      </c>
      <c r="N382" s="12" t="s">
        <v>2374</v>
      </c>
    </row>
    <row r="383" spans="1:14">
      <c r="A383" s="12" t="s">
        <v>8768</v>
      </c>
      <c r="B383" s="8">
        <v>9123.7626536913103</v>
      </c>
      <c r="C383" s="12">
        <v>25958.761812524001</v>
      </c>
      <c r="D383" s="8">
        <v>-1.50852074908742</v>
      </c>
      <c r="E383" s="12">
        <v>3.0724388710687599E-3</v>
      </c>
      <c r="F383" s="8" t="s">
        <v>8769</v>
      </c>
      <c r="G383" s="12" t="s">
        <v>8770</v>
      </c>
      <c r="H383" s="12">
        <v>1</v>
      </c>
      <c r="I383" s="13" t="str">
        <f>HYPERLINK("http://www.ncbi.nlm.nih.gov/gene/4502", "4502")</f>
        <v>4502</v>
      </c>
      <c r="J383" s="13" t="str">
        <f>HYPERLINK("http://www.ncbi.nlm.nih.gov/nuccore/NM_005953", "NM_005953")</f>
        <v>NM_005953</v>
      </c>
      <c r="K383" s="12" t="s">
        <v>8771</v>
      </c>
      <c r="L383" s="13" t="str">
        <f>HYPERLINK("http://asia.ensembl.org/Homo_sapiens/Gene/Summary?g=ENSG00000125148", "ENSG00000125148")</f>
        <v>ENSG00000125148</v>
      </c>
      <c r="M383" s="12" t="s">
        <v>18956</v>
      </c>
      <c r="N383" s="12" t="s">
        <v>18957</v>
      </c>
    </row>
    <row r="384" spans="1:14">
      <c r="A384" s="12" t="s">
        <v>11321</v>
      </c>
      <c r="B384" s="8">
        <v>56.9022165050593</v>
      </c>
      <c r="C384" s="12">
        <v>161.80605081527301</v>
      </c>
      <c r="D384" s="8">
        <v>-1.50770880319121</v>
      </c>
      <c r="E384" s="12">
        <v>4.8097349415824303E-2</v>
      </c>
      <c r="F384" s="8" t="s">
        <v>11322</v>
      </c>
      <c r="G384" s="12" t="s">
        <v>20069</v>
      </c>
      <c r="H384" s="12">
        <v>4</v>
      </c>
      <c r="I384" s="12" t="s">
        <v>11323</v>
      </c>
      <c r="J384" s="12" t="s">
        <v>11324</v>
      </c>
      <c r="K384" s="12" t="s">
        <v>11325</v>
      </c>
      <c r="L384" s="12" t="s">
        <v>11326</v>
      </c>
      <c r="M384" s="12" t="s">
        <v>20070</v>
      </c>
      <c r="N384" s="12" t="s">
        <v>20071</v>
      </c>
    </row>
    <row r="385" spans="1:14">
      <c r="A385" s="12" t="s">
        <v>7159</v>
      </c>
      <c r="B385" s="8">
        <v>5045.51863878323</v>
      </c>
      <c r="C385" s="12">
        <v>14325.778049520501</v>
      </c>
      <c r="D385" s="8">
        <v>-1.5055390160137201</v>
      </c>
      <c r="E385" s="12">
        <v>2.68802810155636E-3</v>
      </c>
      <c r="F385" s="8" t="s">
        <v>7160</v>
      </c>
      <c r="G385" s="12" t="s">
        <v>158</v>
      </c>
      <c r="H385" s="12">
        <v>1</v>
      </c>
      <c r="I385" s="13" t="str">
        <f>HYPERLINK("http://www.ncbi.nlm.nih.gov/gene/1052", "1052")</f>
        <v>1052</v>
      </c>
      <c r="J385" s="13" t="str">
        <f>HYPERLINK("http://www.ncbi.nlm.nih.gov/nuccore/NM_005195", "NM_005195")</f>
        <v>NM_005195</v>
      </c>
      <c r="K385" s="12" t="s">
        <v>7161</v>
      </c>
      <c r="L385" s="13" t="str">
        <f>HYPERLINK("http://asia.ensembl.org/Homo_sapiens/Gene/Summary?g=ENSG00000221869", "ENSG00000221869")</f>
        <v>ENSG00000221869</v>
      </c>
      <c r="M385" s="12" t="s">
        <v>7162</v>
      </c>
      <c r="N385" s="12" t="s">
        <v>7163</v>
      </c>
    </row>
    <row r="386" spans="1:14">
      <c r="A386" s="12" t="s">
        <v>9897</v>
      </c>
      <c r="B386" s="8">
        <v>22906.833109501302</v>
      </c>
      <c r="C386" s="12">
        <v>64993.970518092297</v>
      </c>
      <c r="D386" s="8">
        <v>-1.5045278671958999</v>
      </c>
      <c r="E386" s="12">
        <v>4.2899197700295997E-3</v>
      </c>
      <c r="F386" s="8" t="s">
        <v>9898</v>
      </c>
      <c r="G386" s="12" t="s">
        <v>9899</v>
      </c>
      <c r="H386" s="12">
        <v>1</v>
      </c>
      <c r="I386" s="13" t="str">
        <f>HYPERLINK("http://www.ncbi.nlm.nih.gov/gene/219927", "219927")</f>
        <v>219927</v>
      </c>
      <c r="J386" s="12" t="s">
        <v>19402</v>
      </c>
      <c r="K386" s="12" t="s">
        <v>19403</v>
      </c>
      <c r="L386" s="13" t="str">
        <f>HYPERLINK("http://asia.ensembl.org/Homo_sapiens/Gene/Summary?g=ENSG00000197345", "ENSG00000197345")</f>
        <v>ENSG00000197345</v>
      </c>
      <c r="M386" s="12" t="s">
        <v>19404</v>
      </c>
      <c r="N386" s="12" t="s">
        <v>17476</v>
      </c>
    </row>
    <row r="387" spans="1:14">
      <c r="A387" s="12" t="s">
        <v>6972</v>
      </c>
      <c r="B387" s="8">
        <v>1624.49412215038</v>
      </c>
      <c r="C387" s="12">
        <v>4609.0752670717602</v>
      </c>
      <c r="D387" s="8">
        <v>-1.50448680372569</v>
      </c>
      <c r="E387" s="12">
        <v>2.3177593358924601E-3</v>
      </c>
      <c r="F387" s="8" t="s">
        <v>6973</v>
      </c>
      <c r="G387" s="12" t="s">
        <v>6974</v>
      </c>
      <c r="H387" s="12">
        <v>1</v>
      </c>
      <c r="I387" s="13" t="str">
        <f>HYPERLINK("http://www.ncbi.nlm.nih.gov/gene/255783", "255783")</f>
        <v>255783</v>
      </c>
      <c r="J387" s="12" t="s">
        <v>18321</v>
      </c>
      <c r="K387" s="12" t="s">
        <v>18322</v>
      </c>
      <c r="L387" s="13" t="str">
        <f>HYPERLINK("http://asia.ensembl.org/Homo_sapiens/Gene/Summary?g=ENSG00000257704", "ENSG00000257704")</f>
        <v>ENSG00000257704</v>
      </c>
      <c r="M387" s="12" t="s">
        <v>6975</v>
      </c>
      <c r="N387" s="12" t="s">
        <v>6976</v>
      </c>
    </row>
    <row r="388" spans="1:14">
      <c r="A388" s="12" t="s">
        <v>7739</v>
      </c>
      <c r="B388" s="8">
        <v>66.148507026948394</v>
      </c>
      <c r="C388" s="12">
        <v>187.652442996952</v>
      </c>
      <c r="D388" s="8">
        <v>-1.5042825720781601</v>
      </c>
      <c r="E388" s="12">
        <v>9.0636051699548893E-3</v>
      </c>
      <c r="F388" s="8" t="s">
        <v>7740</v>
      </c>
      <c r="G388" s="12" t="s">
        <v>7741</v>
      </c>
      <c r="H388" s="12">
        <v>1</v>
      </c>
      <c r="I388" s="13" t="str">
        <f>HYPERLINK("http://www.ncbi.nlm.nih.gov/gene/140875", "140875")</f>
        <v>140875</v>
      </c>
      <c r="J388" s="13" t="str">
        <f>HYPERLINK("http://www.ncbi.nlm.nih.gov/nuccore/NR_024358", "NR_024358")</f>
        <v>NR_024358</v>
      </c>
      <c r="K388" s="12" t="s">
        <v>199</v>
      </c>
      <c r="L388" s="13" t="str">
        <f>HYPERLINK("http://asia.ensembl.org/Homo_sapiens/Gene/Summary?g=ENSG00000233354", "ENSG00000233354")</f>
        <v>ENSG00000233354</v>
      </c>
      <c r="M388" s="12" t="s">
        <v>7742</v>
      </c>
    </row>
    <row r="389" spans="1:14">
      <c r="A389" s="12" t="s">
        <v>794</v>
      </c>
      <c r="B389" s="8">
        <v>462.698451868544</v>
      </c>
      <c r="C389" s="12">
        <v>1312.3666537913</v>
      </c>
      <c r="D389" s="8">
        <v>-1.5040266647379501</v>
      </c>
      <c r="E389" s="12">
        <v>6.7088799184939199E-3</v>
      </c>
      <c r="F389" s="8" t="s">
        <v>795</v>
      </c>
      <c r="G389" s="12" t="s">
        <v>796</v>
      </c>
      <c r="H389" s="12">
        <v>1</v>
      </c>
      <c r="I389" s="13" t="str">
        <f>HYPERLINK("http://www.ncbi.nlm.nih.gov/gene/388588", "388588")</f>
        <v>388588</v>
      </c>
      <c r="J389" s="13" t="str">
        <f>HYPERLINK("http://www.ncbi.nlm.nih.gov/nuccore/NM_001163724", "NM_001163724")</f>
        <v>NM_001163724</v>
      </c>
      <c r="K389" s="12" t="s">
        <v>797</v>
      </c>
      <c r="L389" s="13" t="str">
        <f>HYPERLINK("http://asia.ensembl.org/Homo_sapiens/Gene/Summary?g=ENSG00000235169", "ENSG00000235169")</f>
        <v>ENSG00000235169</v>
      </c>
      <c r="M389" s="12" t="s">
        <v>16444</v>
      </c>
      <c r="N389" s="12" t="s">
        <v>16445</v>
      </c>
    </row>
    <row r="390" spans="1:14">
      <c r="A390" s="12" t="s">
        <v>9902</v>
      </c>
      <c r="B390" s="8">
        <v>125.731405170531</v>
      </c>
      <c r="C390" s="12">
        <v>356.60316774788299</v>
      </c>
      <c r="D390" s="8">
        <v>-1.5039744677392799</v>
      </c>
      <c r="E390" s="12">
        <v>4.0994602983459296E-3</v>
      </c>
      <c r="F390" s="8" t="s">
        <v>9903</v>
      </c>
      <c r="G390" s="12" t="s">
        <v>9904</v>
      </c>
      <c r="H390" s="12">
        <v>1</v>
      </c>
      <c r="I390" s="13" t="str">
        <f>HYPERLINK("http://www.ncbi.nlm.nih.gov/gene/353091", "353091")</f>
        <v>353091</v>
      </c>
      <c r="J390" s="13" t="str">
        <f>HYPERLINK("http://www.ncbi.nlm.nih.gov/nuccore/NM_001001788", "NM_001001788")</f>
        <v>NM_001001788</v>
      </c>
      <c r="K390" s="12" t="s">
        <v>9905</v>
      </c>
      <c r="L390" s="13" t="str">
        <f>HYPERLINK("http://asia.ensembl.org/Homo_sapiens/Gene/Summary?g=ENSG00000203722", "ENSG00000203722")</f>
        <v>ENSG00000203722</v>
      </c>
      <c r="M390" s="12" t="s">
        <v>19405</v>
      </c>
      <c r="N390" s="12" t="s">
        <v>19406</v>
      </c>
    </row>
    <row r="391" spans="1:14">
      <c r="A391" s="12" t="s">
        <v>3803</v>
      </c>
      <c r="B391" s="8">
        <v>19568.517563045101</v>
      </c>
      <c r="C391" s="12">
        <v>55448.884039878001</v>
      </c>
      <c r="D391" s="8">
        <v>-1.50262395812696</v>
      </c>
      <c r="E391" s="12">
        <v>6.7692281059096599E-3</v>
      </c>
      <c r="F391" s="8" t="s">
        <v>3804</v>
      </c>
      <c r="G391" s="12" t="s">
        <v>3805</v>
      </c>
      <c r="H391" s="12">
        <v>1</v>
      </c>
      <c r="I391" s="13" t="str">
        <f>HYPERLINK("http://www.ncbi.nlm.nih.gov/gene/170622", "170622")</f>
        <v>170622</v>
      </c>
      <c r="J391" s="12" t="s">
        <v>17426</v>
      </c>
      <c r="K391" s="12" t="s">
        <v>17427</v>
      </c>
      <c r="L391" s="13" t="str">
        <f>HYPERLINK("http://asia.ensembl.org/Homo_sapiens/Gene/Summary?g=ENSG00000188243", "ENSG00000188243")</f>
        <v>ENSG00000188243</v>
      </c>
      <c r="M391" s="12" t="s">
        <v>17428</v>
      </c>
      <c r="N391" s="12" t="s">
        <v>17429</v>
      </c>
    </row>
    <row r="392" spans="1:14">
      <c r="A392" s="12" t="s">
        <v>11084</v>
      </c>
      <c r="B392" s="8">
        <v>282.46568834885801</v>
      </c>
      <c r="C392" s="12">
        <v>800.010240327112</v>
      </c>
      <c r="D392" s="8">
        <v>-1.50194283574247</v>
      </c>
      <c r="E392" s="12">
        <v>3.5306943574999398E-3</v>
      </c>
      <c r="F392" s="8" t="s">
        <v>43</v>
      </c>
      <c r="G392" s="12" t="s">
        <v>44</v>
      </c>
      <c r="H392" s="12">
        <v>1</v>
      </c>
      <c r="I392" s="13" t="str">
        <f>HYPERLINK("http://www.ncbi.nlm.nih.gov/gene/51741", "51741")</f>
        <v>51741</v>
      </c>
      <c r="J392" s="13" t="str">
        <f>HYPERLINK("http://www.ncbi.nlm.nih.gov/nuccore/NR_120435", "NR_120435")</f>
        <v>NR_120435</v>
      </c>
      <c r="K392" s="12" t="s">
        <v>199</v>
      </c>
      <c r="L392" s="13" t="str">
        <f>HYPERLINK("http://asia.ensembl.org/Homo_sapiens/Gene/Summary?g=ENSG00000186153", "ENSG00000186153")</f>
        <v>ENSG00000186153</v>
      </c>
      <c r="M392" s="12" t="s">
        <v>16233</v>
      </c>
      <c r="N392" s="12" t="s">
        <v>16234</v>
      </c>
    </row>
    <row r="393" spans="1:14">
      <c r="A393" s="12" t="s">
        <v>10205</v>
      </c>
      <c r="B393" s="8">
        <v>70859.137514952396</v>
      </c>
      <c r="C393" s="12">
        <v>200496.355237137</v>
      </c>
      <c r="D393" s="8">
        <v>-1.5005502001562501</v>
      </c>
      <c r="E393" s="12">
        <v>4.79212202080391E-3</v>
      </c>
      <c r="F393" s="8" t="s">
        <v>7193</v>
      </c>
      <c r="G393" s="12" t="s">
        <v>7194</v>
      </c>
      <c r="H393" s="12">
        <v>1</v>
      </c>
      <c r="I393" s="13" t="str">
        <f>HYPERLINK("http://www.ncbi.nlm.nih.gov/gene/25873", "25873")</f>
        <v>25873</v>
      </c>
      <c r="J393" s="12" t="s">
        <v>18407</v>
      </c>
      <c r="K393" s="12" t="s">
        <v>18408</v>
      </c>
      <c r="L393" s="13" t="str">
        <f>HYPERLINK("http://asia.ensembl.org/Homo_sapiens/Gene/Summary?g=ENSG00000130255", "ENSG00000130255")</f>
        <v>ENSG00000130255</v>
      </c>
      <c r="M393" s="12" t="s">
        <v>18409</v>
      </c>
      <c r="N393" s="12" t="s">
        <v>18410</v>
      </c>
    </row>
    <row r="394" spans="1:14">
      <c r="A394" s="12" t="s">
        <v>7960</v>
      </c>
      <c r="B394" s="8">
        <v>406.44172962243101</v>
      </c>
      <c r="C394" s="12">
        <v>1149.3510647877099</v>
      </c>
      <c r="D394" s="8">
        <v>-1.49969909364092</v>
      </c>
      <c r="E394" s="12">
        <v>1.63316789997464E-3</v>
      </c>
      <c r="F394" s="8" t="s">
        <v>4162</v>
      </c>
      <c r="G394" s="12" t="s">
        <v>4163</v>
      </c>
      <c r="H394" s="12">
        <v>1</v>
      </c>
      <c r="I394" s="13" t="str">
        <f>HYPERLINK("http://www.ncbi.nlm.nih.gov/gene/119504", "119504")</f>
        <v>119504</v>
      </c>
      <c r="J394" s="12" t="s">
        <v>17587</v>
      </c>
      <c r="K394" s="12" t="s">
        <v>17588</v>
      </c>
      <c r="L394" s="13" t="str">
        <f>HYPERLINK("http://asia.ensembl.org/Homo_sapiens/Gene/Summary?g=ENSG00000166295", "ENSG00000166295")</f>
        <v>ENSG00000166295</v>
      </c>
      <c r="M394" s="12" t="s">
        <v>17589</v>
      </c>
      <c r="N394" s="12" t="s">
        <v>17590</v>
      </c>
    </row>
    <row r="395" spans="1:14">
      <c r="A395" s="12" t="s">
        <v>11529</v>
      </c>
      <c r="B395" s="8">
        <v>769.43409495594597</v>
      </c>
      <c r="C395" s="12">
        <v>2175.7304200169801</v>
      </c>
      <c r="D395" s="8">
        <v>-1.4996301486380601</v>
      </c>
      <c r="E395" s="12">
        <v>3.9922516107640603E-2</v>
      </c>
      <c r="F395" s="8" t="s">
        <v>11530</v>
      </c>
      <c r="G395" s="12" t="s">
        <v>20134</v>
      </c>
      <c r="H395" s="12">
        <v>1</v>
      </c>
      <c r="I395" s="13" t="str">
        <f>HYPERLINK("http://www.ncbi.nlm.nih.gov/gene/53940", "53940")</f>
        <v>53940</v>
      </c>
      <c r="J395" s="13" t="str">
        <f>HYPERLINK("http://www.ncbi.nlm.nih.gov/nuccore/NM_031894", "NM_031894")</f>
        <v>NM_031894</v>
      </c>
      <c r="K395" s="12" t="s">
        <v>11531</v>
      </c>
      <c r="L395" s="13" t="str">
        <f>HYPERLINK("http://asia.ensembl.org/Homo_sapiens/Gene/Summary?g=ENSG00000132446", "ENSG00000132446")</f>
        <v>ENSG00000132446</v>
      </c>
      <c r="M395" s="12" t="s">
        <v>11532</v>
      </c>
      <c r="N395" s="12" t="s">
        <v>11533</v>
      </c>
    </row>
    <row r="396" spans="1:14">
      <c r="A396" s="12" t="s">
        <v>3515</v>
      </c>
      <c r="B396" s="8">
        <v>11515.6682525533</v>
      </c>
      <c r="C396" s="12">
        <v>32535.573965922998</v>
      </c>
      <c r="D396" s="8">
        <v>-1.49841987185572</v>
      </c>
      <c r="E396" s="12">
        <v>3.2453375985455699E-3</v>
      </c>
      <c r="F396" s="8" t="s">
        <v>3516</v>
      </c>
      <c r="G396" s="12" t="s">
        <v>3517</v>
      </c>
      <c r="H396" s="12">
        <v>1</v>
      </c>
      <c r="I396" s="13" t="str">
        <f>HYPERLINK("http://www.ncbi.nlm.nih.gov/gene/7169", "7169")</f>
        <v>7169</v>
      </c>
      <c r="J396" s="12" t="s">
        <v>17330</v>
      </c>
      <c r="K396" s="12" t="s">
        <v>17331</v>
      </c>
      <c r="L396" s="13" t="str">
        <f>HYPERLINK("http://asia.ensembl.org/Homo_sapiens/Gene/Summary?g=ENSG00000198467", "ENSG00000198467")</f>
        <v>ENSG00000198467</v>
      </c>
      <c r="M396" s="12" t="s">
        <v>17332</v>
      </c>
      <c r="N396" s="12" t="s">
        <v>17333</v>
      </c>
    </row>
    <row r="397" spans="1:14">
      <c r="A397" s="12" t="s">
        <v>11420</v>
      </c>
      <c r="B397" s="8">
        <v>1647.4534713181699</v>
      </c>
      <c r="C397" s="12">
        <v>4652.7370011947596</v>
      </c>
      <c r="D397" s="8">
        <v>-1.4978419201040001</v>
      </c>
      <c r="E397" s="12">
        <v>4.8441692223438401E-4</v>
      </c>
      <c r="F397" s="8" t="s">
        <v>11421</v>
      </c>
      <c r="G397" s="12" t="s">
        <v>20106</v>
      </c>
      <c r="H397" s="12">
        <v>4</v>
      </c>
      <c r="I397" s="12" t="s">
        <v>11422</v>
      </c>
      <c r="J397" s="12" t="s">
        <v>11423</v>
      </c>
      <c r="K397" s="12" t="s">
        <v>11424</v>
      </c>
      <c r="L397" s="12" t="s">
        <v>11425</v>
      </c>
      <c r="M397" s="12" t="s">
        <v>11426</v>
      </c>
      <c r="N397" s="12" t="s">
        <v>11427</v>
      </c>
    </row>
    <row r="398" spans="1:14">
      <c r="A398" s="12" t="s">
        <v>95</v>
      </c>
      <c r="B398" s="8">
        <v>1364.1829629578999</v>
      </c>
      <c r="C398" s="12">
        <v>3850.1377099327401</v>
      </c>
      <c r="D398" s="8">
        <v>-1.4968728981107999</v>
      </c>
      <c r="E398" s="12">
        <v>1.4886036097932201E-3</v>
      </c>
      <c r="F398" s="8" t="s">
        <v>96</v>
      </c>
      <c r="G398" s="12" t="s">
        <v>16251</v>
      </c>
      <c r="H398" s="12">
        <v>1</v>
      </c>
      <c r="I398" s="13" t="str">
        <f>HYPERLINK("http://www.ncbi.nlm.nih.gov/gene/3109", "3109")</f>
        <v>3109</v>
      </c>
      <c r="J398" s="13" t="str">
        <f>HYPERLINK("http://www.ncbi.nlm.nih.gov/nuccore/NM_002118", "NM_002118")</f>
        <v>NM_002118</v>
      </c>
      <c r="K398" s="12" t="s">
        <v>97</v>
      </c>
      <c r="L398" s="13" t="str">
        <f>HYPERLINK("http://asia.ensembl.org/Homo_sapiens/Gene/Summary?g=ENSG00000242386", "ENSG00000242386")</f>
        <v>ENSG00000242386</v>
      </c>
      <c r="M398" s="12" t="s">
        <v>16252</v>
      </c>
      <c r="N398" s="12" t="s">
        <v>16253</v>
      </c>
    </row>
    <row r="399" spans="1:14">
      <c r="A399" s="12" t="s">
        <v>3354</v>
      </c>
      <c r="B399" s="8">
        <v>11658.0545926987</v>
      </c>
      <c r="C399" s="12">
        <v>32901.680731659697</v>
      </c>
      <c r="D399" s="8">
        <v>-1.4968342210261201</v>
      </c>
      <c r="E399" s="12">
        <v>4.2686676196826699E-4</v>
      </c>
      <c r="F399" s="8" t="s">
        <v>1273</v>
      </c>
      <c r="G399" s="12" t="s">
        <v>1274</v>
      </c>
      <c r="H399" s="12">
        <v>1</v>
      </c>
      <c r="I399" s="13" t="str">
        <f>HYPERLINK("http://www.ncbi.nlm.nih.gov/gene/55839", "55839")</f>
        <v>55839</v>
      </c>
      <c r="J399" s="12" t="s">
        <v>17283</v>
      </c>
      <c r="K399" s="12" t="s">
        <v>17284</v>
      </c>
      <c r="L399" s="13" t="str">
        <f>HYPERLINK("http://asia.ensembl.org/Homo_sapiens/Gene/Summary?g=ENSG00000166451", "ENSG00000166451")</f>
        <v>ENSG00000166451</v>
      </c>
      <c r="M399" s="12" t="s">
        <v>17285</v>
      </c>
      <c r="N399" s="12" t="s">
        <v>17286</v>
      </c>
    </row>
    <row r="400" spans="1:14">
      <c r="A400" s="12" t="s">
        <v>1822</v>
      </c>
      <c r="B400" s="8">
        <v>7169.2565866690902</v>
      </c>
      <c r="C400" s="12">
        <v>20220.589360829199</v>
      </c>
      <c r="D400" s="8">
        <v>-1.49592961538327</v>
      </c>
      <c r="E400" s="12">
        <v>1.4684998466484799E-3</v>
      </c>
      <c r="F400" s="8" t="s">
        <v>1823</v>
      </c>
      <c r="G400" s="12" t="s">
        <v>16796</v>
      </c>
      <c r="H400" s="12">
        <v>1</v>
      </c>
      <c r="I400" s="13" t="str">
        <f>HYPERLINK("http://www.ncbi.nlm.nih.gov/gene/140465", "140465")</f>
        <v>140465</v>
      </c>
      <c r="J400" s="12" t="s">
        <v>16797</v>
      </c>
      <c r="K400" s="12" t="s">
        <v>16798</v>
      </c>
      <c r="L400" s="13" t="str">
        <f>HYPERLINK("http://asia.ensembl.org/Homo_sapiens/Gene/Summary?g=ENSG00000196465", "ENSG00000196465")</f>
        <v>ENSG00000196465</v>
      </c>
      <c r="M400" s="12" t="s">
        <v>16799</v>
      </c>
      <c r="N400" s="12" t="s">
        <v>16800</v>
      </c>
    </row>
    <row r="401" spans="1:14">
      <c r="A401" s="12" t="s">
        <v>5829</v>
      </c>
      <c r="B401" s="8">
        <v>28794.959075303701</v>
      </c>
      <c r="C401" s="12">
        <v>81072.797638835793</v>
      </c>
      <c r="D401" s="8">
        <v>-1.4934016564591901</v>
      </c>
      <c r="E401" s="12">
        <v>4.2529539449398602E-3</v>
      </c>
      <c r="F401" s="8" t="s">
        <v>5830</v>
      </c>
      <c r="G401" s="12" t="s">
        <v>5831</v>
      </c>
      <c r="H401" s="12">
        <v>1</v>
      </c>
      <c r="I401" s="13" t="str">
        <f>HYPERLINK("http://www.ncbi.nlm.nih.gov/gene/2879", "2879")</f>
        <v>2879</v>
      </c>
      <c r="J401" s="12" t="s">
        <v>17985</v>
      </c>
      <c r="K401" s="12" t="s">
        <v>17986</v>
      </c>
      <c r="L401" s="13" t="str">
        <f>HYPERLINK("http://asia.ensembl.org/Homo_sapiens/Gene/Summary?g=ENSG00000167468", "ENSG00000167468")</f>
        <v>ENSG00000167468</v>
      </c>
      <c r="M401" s="12" t="s">
        <v>17987</v>
      </c>
      <c r="N401" s="12" t="s">
        <v>17988</v>
      </c>
    </row>
    <row r="402" spans="1:14">
      <c r="A402" s="12" t="s">
        <v>4089</v>
      </c>
      <c r="B402" s="8">
        <v>2017.3636297466701</v>
      </c>
      <c r="C402" s="12">
        <v>5673.5014863542701</v>
      </c>
      <c r="D402" s="8">
        <v>-1.4917682377355901</v>
      </c>
      <c r="E402" s="12">
        <v>7.30210468334199E-3</v>
      </c>
      <c r="F402" s="8" t="s">
        <v>4090</v>
      </c>
      <c r="G402" s="12" t="s">
        <v>864</v>
      </c>
      <c r="H402" s="12">
        <v>1</v>
      </c>
      <c r="I402" s="13" t="str">
        <f>HYPERLINK("http://www.ncbi.nlm.nih.gov/gene/1317", "1317")</f>
        <v>1317</v>
      </c>
      <c r="J402" s="13" t="str">
        <f>HYPERLINK("http://www.ncbi.nlm.nih.gov/nuccore/NM_001859", "NM_001859")</f>
        <v>NM_001859</v>
      </c>
      <c r="K402" s="12" t="s">
        <v>4091</v>
      </c>
      <c r="L402" s="13" t="str">
        <f>HYPERLINK("http://asia.ensembl.org/Homo_sapiens/Gene/Summary?g=ENSG00000136868", "ENSG00000136868")</f>
        <v>ENSG00000136868</v>
      </c>
      <c r="M402" s="12" t="s">
        <v>17549</v>
      </c>
      <c r="N402" s="12" t="s">
        <v>4092</v>
      </c>
    </row>
    <row r="403" spans="1:14">
      <c r="A403" s="12" t="s">
        <v>9752</v>
      </c>
      <c r="B403" s="8">
        <v>105877.334661784</v>
      </c>
      <c r="C403" s="12">
        <v>297657.97312654898</v>
      </c>
      <c r="D403" s="8">
        <v>-1.4912617569634099</v>
      </c>
      <c r="E403" s="12">
        <v>7.1209336514868396E-3</v>
      </c>
      <c r="F403" s="8" t="s">
        <v>9753</v>
      </c>
      <c r="G403" s="12" t="s">
        <v>9754</v>
      </c>
      <c r="H403" s="12">
        <v>1</v>
      </c>
      <c r="I403" s="13" t="str">
        <f>HYPERLINK("http://www.ncbi.nlm.nih.gov/gene/6169", "6169")</f>
        <v>6169</v>
      </c>
      <c r="J403" s="13" t="str">
        <f>HYPERLINK("http://www.ncbi.nlm.nih.gov/nuccore/NM_000999", "NM_000999")</f>
        <v>NM_000999</v>
      </c>
      <c r="K403" s="12" t="s">
        <v>9755</v>
      </c>
      <c r="L403" s="13" t="str">
        <f>HYPERLINK("http://asia.ensembl.org/Homo_sapiens/Gene/Summary?g=ENSG00000172809", "ENSG00000172809")</f>
        <v>ENSG00000172809</v>
      </c>
      <c r="M403" s="12" t="s">
        <v>19298</v>
      </c>
      <c r="N403" s="12" t="s">
        <v>19299</v>
      </c>
    </row>
    <row r="404" spans="1:14">
      <c r="A404" s="12" t="s">
        <v>8622</v>
      </c>
      <c r="B404" s="8">
        <v>4825.4493073313597</v>
      </c>
      <c r="C404" s="12">
        <v>13555.5254098153</v>
      </c>
      <c r="D404" s="8">
        <v>-1.49014584687217</v>
      </c>
      <c r="E404" s="12">
        <v>1.58307490327773E-3</v>
      </c>
      <c r="F404" s="8" t="s">
        <v>6224</v>
      </c>
      <c r="G404" s="12" t="s">
        <v>6225</v>
      </c>
      <c r="H404" s="12">
        <v>1</v>
      </c>
      <c r="I404" s="13" t="str">
        <f>HYPERLINK("http://www.ncbi.nlm.nih.gov/gene/11258", "11258")</f>
        <v>11258</v>
      </c>
      <c r="J404" s="12" t="s">
        <v>18937</v>
      </c>
      <c r="K404" s="12" t="s">
        <v>18938</v>
      </c>
      <c r="L404" s="13" t="str">
        <f>HYPERLINK("http://asia.ensembl.org/Homo_sapiens/Gene/Summary?g=ENSG00000137100", "ENSG00000137100")</f>
        <v>ENSG00000137100</v>
      </c>
      <c r="M404" s="12" t="s">
        <v>18939</v>
      </c>
      <c r="N404" s="12" t="s">
        <v>18940</v>
      </c>
    </row>
    <row r="405" spans="1:14">
      <c r="A405" s="12" t="s">
        <v>3343</v>
      </c>
      <c r="B405" s="8">
        <v>552.50451724637298</v>
      </c>
      <c r="C405" s="12">
        <v>1550.4686447291299</v>
      </c>
      <c r="D405" s="8">
        <v>-1.48864618543045</v>
      </c>
      <c r="E405" s="12">
        <v>4.952282087577E-3</v>
      </c>
      <c r="F405" s="8" t="s">
        <v>3344</v>
      </c>
      <c r="G405" s="12" t="s">
        <v>3345</v>
      </c>
      <c r="H405" s="12">
        <v>1</v>
      </c>
      <c r="I405" s="13" t="str">
        <f>HYPERLINK("http://www.ncbi.nlm.nih.gov/gene/400236", "400236")</f>
        <v>400236</v>
      </c>
      <c r="J405" s="13" t="str">
        <f>HYPERLINK("http://www.ncbi.nlm.nih.gov/nuccore/NR_036500", "NR_036500")</f>
        <v>NR_036500</v>
      </c>
      <c r="K405" s="12" t="s">
        <v>199</v>
      </c>
      <c r="L405" s="13" t="str">
        <f>HYPERLINK("http://asia.ensembl.org/Homo_sapiens/Gene/Summary?g=ENSG00000258920", "ENSG00000258920")</f>
        <v>ENSG00000258920</v>
      </c>
      <c r="M405" s="12" t="s">
        <v>3346</v>
      </c>
    </row>
    <row r="406" spans="1:14">
      <c r="A406" s="12" t="s">
        <v>6349</v>
      </c>
      <c r="B406" s="8">
        <v>52.926597634558597</v>
      </c>
      <c r="C406" s="12">
        <v>148.28748528451999</v>
      </c>
      <c r="D406" s="8">
        <v>-1.48633202776371</v>
      </c>
      <c r="E406" s="12">
        <v>3.7259745527099398E-3</v>
      </c>
      <c r="F406" s="8" t="s">
        <v>6350</v>
      </c>
      <c r="G406" s="12" t="s">
        <v>6351</v>
      </c>
      <c r="H406" s="12">
        <v>1</v>
      </c>
      <c r="I406" s="13" t="str">
        <f>HYPERLINK("http://www.ncbi.nlm.nih.gov/gene/23671", "23671")</f>
        <v>23671</v>
      </c>
      <c r="J406" s="13" t="str">
        <f>HYPERLINK("http://www.ncbi.nlm.nih.gov/nuccore/NM_016192", "NM_016192")</f>
        <v>NM_016192</v>
      </c>
      <c r="K406" s="12" t="s">
        <v>6352</v>
      </c>
      <c r="L406" s="13" t="str">
        <f>HYPERLINK("http://asia.ensembl.org/Homo_sapiens/Gene/Summary?g=ENSG00000144339", "ENSG00000144339")</f>
        <v>ENSG00000144339</v>
      </c>
      <c r="M406" s="12" t="s">
        <v>18131</v>
      </c>
      <c r="N406" s="12" t="s">
        <v>18132</v>
      </c>
    </row>
    <row r="407" spans="1:14">
      <c r="A407" s="12" t="s">
        <v>10951</v>
      </c>
      <c r="B407" s="8">
        <v>1930.70621761852</v>
      </c>
      <c r="C407" s="12">
        <v>5409.3398999720303</v>
      </c>
      <c r="D407" s="8">
        <v>-1.4863238972402499</v>
      </c>
      <c r="E407" s="12">
        <v>3.2601512628009999E-3</v>
      </c>
      <c r="F407" s="8" t="s">
        <v>10952</v>
      </c>
      <c r="G407" s="12" t="s">
        <v>10953</v>
      </c>
      <c r="H407" s="12">
        <v>4</v>
      </c>
      <c r="I407" s="12" t="s">
        <v>10954</v>
      </c>
      <c r="J407" s="12" t="s">
        <v>10955</v>
      </c>
      <c r="K407" s="12" t="s">
        <v>10956</v>
      </c>
      <c r="L407" s="12" t="s">
        <v>10957</v>
      </c>
      <c r="M407" s="12" t="s">
        <v>19915</v>
      </c>
      <c r="N407" s="12" t="s">
        <v>19916</v>
      </c>
    </row>
    <row r="408" spans="1:14">
      <c r="A408" s="12" t="s">
        <v>11793</v>
      </c>
      <c r="B408" s="8">
        <v>1743.41329766643</v>
      </c>
      <c r="C408" s="12">
        <v>4882.9735040639498</v>
      </c>
      <c r="D408" s="8">
        <v>-1.4858453309647399</v>
      </c>
      <c r="E408" s="12">
        <v>3.6120009491402601E-3</v>
      </c>
      <c r="F408" s="8" t="s">
        <v>10661</v>
      </c>
      <c r="G408" s="12" t="s">
        <v>10662</v>
      </c>
      <c r="H408" s="12">
        <v>1</v>
      </c>
      <c r="I408" s="13" t="str">
        <f>HYPERLINK("http://www.ncbi.nlm.nih.gov/gene/8660", "8660")</f>
        <v>8660</v>
      </c>
      <c r="J408" s="13" t="str">
        <f>HYPERLINK("http://www.ncbi.nlm.nih.gov/nuccore/NM_003749", "NM_003749")</f>
        <v>NM_003749</v>
      </c>
      <c r="K408" s="12" t="s">
        <v>10663</v>
      </c>
      <c r="L408" s="13" t="str">
        <f>HYPERLINK("http://asia.ensembl.org/Homo_sapiens/Gene/Summary?g=ENSG00000185950", "ENSG00000185950")</f>
        <v>ENSG00000185950</v>
      </c>
      <c r="M408" s="12" t="s">
        <v>10664</v>
      </c>
      <c r="N408" s="12" t="s">
        <v>10665</v>
      </c>
    </row>
    <row r="409" spans="1:14">
      <c r="A409" s="12" t="s">
        <v>7266</v>
      </c>
      <c r="B409" s="8">
        <v>31362.856633632498</v>
      </c>
      <c r="C409" s="12">
        <v>87712.986047694605</v>
      </c>
      <c r="D409" s="8">
        <v>-1.4837334808721501</v>
      </c>
      <c r="E409" s="12">
        <v>2.9038409387910501E-3</v>
      </c>
      <c r="F409" s="8" t="s">
        <v>7267</v>
      </c>
      <c r="G409" s="12" t="s">
        <v>7268</v>
      </c>
      <c r="H409" s="12">
        <v>1</v>
      </c>
      <c r="I409" s="13" t="str">
        <f>HYPERLINK("http://www.ncbi.nlm.nih.gov/gene/1652", "1652")</f>
        <v>1652</v>
      </c>
      <c r="J409" s="12" t="s">
        <v>18455</v>
      </c>
      <c r="K409" s="12" t="s">
        <v>18456</v>
      </c>
      <c r="L409" s="13" t="str">
        <f>HYPERLINK("http://asia.ensembl.org/Homo_sapiens/Gene/Summary?g=ENSG00000275003", "ENSG00000275003")</f>
        <v>ENSG00000275003</v>
      </c>
      <c r="M409" s="12" t="s">
        <v>7269</v>
      </c>
      <c r="N409" s="12" t="s">
        <v>7270</v>
      </c>
    </row>
    <row r="410" spans="1:14">
      <c r="A410" s="12" t="s">
        <v>2073</v>
      </c>
      <c r="B410" s="8">
        <v>9488.8629916450409</v>
      </c>
      <c r="C410" s="12">
        <v>26529.279082018798</v>
      </c>
      <c r="D410" s="8">
        <v>-1.4832783407177399</v>
      </c>
      <c r="E410" s="12">
        <v>3.02763078187927E-3</v>
      </c>
      <c r="F410" s="8" t="s">
        <v>2074</v>
      </c>
      <c r="G410" s="12" t="s">
        <v>286</v>
      </c>
      <c r="H410" s="12">
        <v>1</v>
      </c>
      <c r="I410" s="13" t="str">
        <f>HYPERLINK("http://www.ncbi.nlm.nih.gov/gene/4712", "4712")</f>
        <v>4712</v>
      </c>
      <c r="J410" s="12" t="s">
        <v>16911</v>
      </c>
      <c r="K410" s="12" t="s">
        <v>16912</v>
      </c>
      <c r="L410" s="13" t="str">
        <f>HYPERLINK("http://asia.ensembl.org/Homo_sapiens/Gene/Summary?g=ENSG00000165264", "ENSG00000165264")</f>
        <v>ENSG00000165264</v>
      </c>
      <c r="M410" s="12" t="s">
        <v>16913</v>
      </c>
      <c r="N410" s="12" t="s">
        <v>16914</v>
      </c>
    </row>
    <row r="411" spans="1:14">
      <c r="A411" s="12" t="s">
        <v>11512</v>
      </c>
      <c r="B411" s="8">
        <v>4350.9272104489901</v>
      </c>
      <c r="C411" s="12">
        <v>12154.104268842901</v>
      </c>
      <c r="D411" s="8">
        <v>-1.48204878739547</v>
      </c>
      <c r="E411" s="12">
        <v>4.2628822950908701E-3</v>
      </c>
      <c r="F411" s="8" t="s">
        <v>10395</v>
      </c>
      <c r="G411" s="12" t="s">
        <v>10396</v>
      </c>
      <c r="H411" s="12">
        <v>1</v>
      </c>
      <c r="I411" s="13" t="str">
        <f>HYPERLINK("http://www.ncbi.nlm.nih.gov/gene/647087", "647087")</f>
        <v>647087</v>
      </c>
      <c r="J411" s="13" t="str">
        <f>HYPERLINK("http://www.ncbi.nlm.nih.gov/nuccore/NM_001130929", "NM_001130929")</f>
        <v>NM_001130929</v>
      </c>
      <c r="K411" s="12" t="s">
        <v>10397</v>
      </c>
      <c r="L411" s="13" t="str">
        <f>HYPERLINK("http://asia.ensembl.org/Homo_sapiens/Gene/Summary?g=ENSG00000243317", "ENSG00000243317")</f>
        <v>ENSG00000243317</v>
      </c>
      <c r="M411" s="12" t="s">
        <v>20126</v>
      </c>
      <c r="N411" s="12" t="s">
        <v>20127</v>
      </c>
    </row>
    <row r="412" spans="1:14">
      <c r="A412" s="12" t="s">
        <v>5804</v>
      </c>
      <c r="B412" s="8">
        <v>76.578323737570798</v>
      </c>
      <c r="C412" s="12">
        <v>213.73821847104</v>
      </c>
      <c r="D412" s="8">
        <v>-1.4808369132102299</v>
      </c>
      <c r="E412" s="12">
        <v>4.9509564663604302E-2</v>
      </c>
      <c r="F412" s="8" t="s">
        <v>5805</v>
      </c>
      <c r="G412" s="12" t="s">
        <v>5806</v>
      </c>
      <c r="H412" s="12">
        <v>1</v>
      </c>
      <c r="I412" s="13" t="str">
        <f>HYPERLINK("http://www.ncbi.nlm.nih.gov/gene/2845", "2845")</f>
        <v>2845</v>
      </c>
      <c r="J412" s="13" t="str">
        <f>HYPERLINK("http://www.ncbi.nlm.nih.gov/nuccore/NM_005295", "NM_005295")</f>
        <v>NM_005295</v>
      </c>
      <c r="K412" s="12" t="s">
        <v>5807</v>
      </c>
      <c r="L412" s="13" t="str">
        <f>HYPERLINK("http://asia.ensembl.org/Homo_sapiens/Gene/Summary?g=ENSG00000172209", "ENSG00000172209")</f>
        <v>ENSG00000172209</v>
      </c>
      <c r="M412" s="12" t="s">
        <v>17973</v>
      </c>
      <c r="N412" s="12" t="s">
        <v>5808</v>
      </c>
    </row>
    <row r="413" spans="1:14">
      <c r="A413" s="12" t="s">
        <v>10388</v>
      </c>
      <c r="B413" s="8">
        <v>355.41416816852598</v>
      </c>
      <c r="C413" s="12">
        <v>990.91832521564402</v>
      </c>
      <c r="D413" s="8">
        <v>-1.4792649567312</v>
      </c>
      <c r="E413" s="12">
        <v>1.8362183393258999E-2</v>
      </c>
      <c r="F413" s="8" t="s">
        <v>3897</v>
      </c>
      <c r="G413" s="12" t="s">
        <v>3898</v>
      </c>
      <c r="H413" s="12">
        <v>1</v>
      </c>
      <c r="I413" s="13" t="str">
        <f>HYPERLINK("http://www.ncbi.nlm.nih.gov/gene/641649", "641649")</f>
        <v>641649</v>
      </c>
      <c r="J413" s="12" t="s">
        <v>19712</v>
      </c>
      <c r="K413" s="12" t="s">
        <v>19713</v>
      </c>
      <c r="L413" s="13" t="str">
        <f>HYPERLINK("http://asia.ensembl.org/Homo_sapiens/Gene/Summary?g=ENSG00000142046", "ENSG00000142046")</f>
        <v>ENSG00000142046</v>
      </c>
      <c r="M413" s="12" t="s">
        <v>19714</v>
      </c>
      <c r="N413" s="12" t="s">
        <v>19715</v>
      </c>
    </row>
    <row r="414" spans="1:14">
      <c r="A414" s="12" t="s">
        <v>9362</v>
      </c>
      <c r="B414" s="8">
        <v>1193.6245564387</v>
      </c>
      <c r="C414" s="12">
        <v>3327.8561687033198</v>
      </c>
      <c r="D414" s="8">
        <v>-1.4792439593831701</v>
      </c>
      <c r="E414" s="12">
        <v>5.85251922272958E-3</v>
      </c>
      <c r="F414" s="8" t="s">
        <v>9363</v>
      </c>
      <c r="G414" s="12" t="s">
        <v>9364</v>
      </c>
      <c r="H414" s="12">
        <v>1</v>
      </c>
      <c r="I414" s="13" t="str">
        <f>HYPERLINK("http://www.ncbi.nlm.nih.gov/gene/342977", "342977")</f>
        <v>342977</v>
      </c>
      <c r="J414" s="13" t="str">
        <f>HYPERLINK("http://www.ncbi.nlm.nih.gov/nuccore/NM_001098622", "NM_001098622")</f>
        <v>NM_001098622</v>
      </c>
      <c r="K414" s="12" t="s">
        <v>9365</v>
      </c>
      <c r="L414" s="13" t="str">
        <f>HYPERLINK("http://asia.ensembl.org/Homo_sapiens/Gene/Summary?g=ENSG00000187556", "ENSG00000187556")</f>
        <v>ENSG00000187556</v>
      </c>
      <c r="M414" s="12" t="s">
        <v>19136</v>
      </c>
      <c r="N414" s="12" t="s">
        <v>19137</v>
      </c>
    </row>
    <row r="415" spans="1:14">
      <c r="A415" s="12" t="s">
        <v>3057</v>
      </c>
      <c r="B415" s="8">
        <v>9821.2998371229696</v>
      </c>
      <c r="C415" s="12">
        <v>27356.138484747498</v>
      </c>
      <c r="D415" s="8">
        <v>-1.47787871660981</v>
      </c>
      <c r="E415" s="12">
        <v>2.2959136384463502E-3</v>
      </c>
      <c r="F415" s="8" t="s">
        <v>3058</v>
      </c>
      <c r="G415" s="12" t="s">
        <v>3059</v>
      </c>
      <c r="H415" s="12">
        <v>1</v>
      </c>
      <c r="I415" s="13" t="str">
        <f>HYPERLINK("http://www.ncbi.nlm.nih.gov/gene/93974", "93974")</f>
        <v>93974</v>
      </c>
      <c r="J415" s="12" t="s">
        <v>17188</v>
      </c>
      <c r="K415" s="12" t="s">
        <v>17189</v>
      </c>
      <c r="L415" s="13" t="str">
        <f>HYPERLINK("http://asia.ensembl.org/Homo_sapiens/Gene/Summary?g=ENSG00000130770", "ENSG00000130770")</f>
        <v>ENSG00000130770</v>
      </c>
      <c r="M415" s="12" t="s">
        <v>17190</v>
      </c>
      <c r="N415" s="12" t="s">
        <v>17191</v>
      </c>
    </row>
    <row r="416" spans="1:14">
      <c r="A416" s="12" t="s">
        <v>6148</v>
      </c>
      <c r="B416" s="8">
        <v>52203.3975036345</v>
      </c>
      <c r="C416" s="12">
        <v>145339.85473195699</v>
      </c>
      <c r="D416" s="8">
        <v>-1.4772147609528301</v>
      </c>
      <c r="E416" s="12">
        <v>4.0732322821404598E-3</v>
      </c>
      <c r="F416" s="8" t="s">
        <v>6149</v>
      </c>
      <c r="G416" s="12" t="s">
        <v>6150</v>
      </c>
      <c r="H416" s="12">
        <v>1</v>
      </c>
      <c r="I416" s="13" t="str">
        <f>HYPERLINK("http://www.ncbi.nlm.nih.gov/gene/26012", "26012")</f>
        <v>26012</v>
      </c>
      <c r="J416" s="12" t="s">
        <v>18069</v>
      </c>
      <c r="K416" s="12" t="s">
        <v>18070</v>
      </c>
      <c r="L416" s="13" t="str">
        <f>HYPERLINK("http://asia.ensembl.org/Homo_sapiens/Gene/Summary?g=ENSG00000165802", "ENSG00000165802")</f>
        <v>ENSG00000165802</v>
      </c>
      <c r="M416" s="12" t="s">
        <v>18071</v>
      </c>
      <c r="N416" s="12" t="s">
        <v>18072</v>
      </c>
    </row>
    <row r="417" spans="1:14">
      <c r="A417" s="12" t="s">
        <v>9923</v>
      </c>
      <c r="B417" s="8">
        <v>2552.0486640967401</v>
      </c>
      <c r="C417" s="12">
        <v>7105.0383747916503</v>
      </c>
      <c r="D417" s="8">
        <v>-1.4771866019852</v>
      </c>
      <c r="E417" s="12">
        <v>8.0124850790036701E-4</v>
      </c>
      <c r="F417" s="8" t="s">
        <v>6438</v>
      </c>
      <c r="G417" s="12" t="s">
        <v>6439</v>
      </c>
      <c r="H417" s="12">
        <v>1</v>
      </c>
      <c r="I417" s="13" t="str">
        <f>HYPERLINK("http://www.ncbi.nlm.nih.gov/gene/57128", "57128")</f>
        <v>57128</v>
      </c>
      <c r="J417" s="12" t="s">
        <v>19428</v>
      </c>
      <c r="K417" s="12" t="s">
        <v>19429</v>
      </c>
      <c r="L417" s="13" t="str">
        <f>HYPERLINK("http://asia.ensembl.org/Homo_sapiens/Gene/Summary?g=ENSG00000214113", "ENSG00000214113")</f>
        <v>ENSG00000214113</v>
      </c>
      <c r="M417" s="12" t="s">
        <v>19430</v>
      </c>
      <c r="N417" s="12" t="s">
        <v>19431</v>
      </c>
    </row>
    <row r="418" spans="1:14">
      <c r="A418" s="12" t="s">
        <v>7006</v>
      </c>
      <c r="B418" s="8">
        <v>1600.67532399127</v>
      </c>
      <c r="C418" s="12">
        <v>4454.6121199077497</v>
      </c>
      <c r="D418" s="8">
        <v>-1.47661911049886</v>
      </c>
      <c r="E418" s="12">
        <v>3.4707873028173302E-3</v>
      </c>
      <c r="F418" s="8" t="s">
        <v>7007</v>
      </c>
      <c r="G418" s="12" t="s">
        <v>7008</v>
      </c>
      <c r="H418" s="12">
        <v>1</v>
      </c>
      <c r="I418" s="13" t="str">
        <f>HYPERLINK("http://www.ncbi.nlm.nih.gov/gene/51021", "51021")</f>
        <v>51021</v>
      </c>
      <c r="J418" s="13" t="str">
        <f>HYPERLINK("http://www.ncbi.nlm.nih.gov/nuccore/NM_016065", "NM_016065")</f>
        <v>NM_016065</v>
      </c>
      <c r="K418" s="12" t="s">
        <v>7009</v>
      </c>
      <c r="L418" s="13" t="str">
        <f>HYPERLINK("http://asia.ensembl.org/Homo_sapiens/Gene/Summary?g=ENSG00000182180", "ENSG00000182180")</f>
        <v>ENSG00000182180</v>
      </c>
      <c r="M418" s="12" t="s">
        <v>18335</v>
      </c>
      <c r="N418" s="12" t="s">
        <v>18336</v>
      </c>
    </row>
    <row r="419" spans="1:14">
      <c r="A419" s="12" t="s">
        <v>3739</v>
      </c>
      <c r="B419" s="8">
        <v>12585.314977293499</v>
      </c>
      <c r="C419" s="12">
        <v>34995.113268330701</v>
      </c>
      <c r="D419" s="8">
        <v>-1.4754121537987199</v>
      </c>
      <c r="E419" s="12">
        <v>3.85650518196432E-3</v>
      </c>
      <c r="F419" s="8" t="s">
        <v>3740</v>
      </c>
      <c r="G419" s="12" t="s">
        <v>17396</v>
      </c>
      <c r="H419" s="12">
        <v>1</v>
      </c>
      <c r="I419" s="13" t="str">
        <f>HYPERLINK("http://www.ncbi.nlm.nih.gov/gene/28956", "28956")</f>
        <v>28956</v>
      </c>
      <c r="J419" s="12" t="s">
        <v>17397</v>
      </c>
      <c r="K419" s="12" t="s">
        <v>17398</v>
      </c>
      <c r="L419" s="13" t="str">
        <f>HYPERLINK("http://asia.ensembl.org/Homo_sapiens/Gene/Summary?g=ENSG00000116586", "ENSG00000116586")</f>
        <v>ENSG00000116586</v>
      </c>
      <c r="M419" s="12" t="s">
        <v>17399</v>
      </c>
      <c r="N419" s="12" t="s">
        <v>17400</v>
      </c>
    </row>
    <row r="420" spans="1:14">
      <c r="A420" s="12" t="s">
        <v>2426</v>
      </c>
      <c r="B420" s="8">
        <v>50.430320201134698</v>
      </c>
      <c r="C420" s="12">
        <v>140.19355453319201</v>
      </c>
      <c r="D420" s="8">
        <v>-1.47505673161531</v>
      </c>
      <c r="E420" s="12">
        <v>3.2678274626842998E-3</v>
      </c>
      <c r="F420" s="8" t="s">
        <v>2427</v>
      </c>
      <c r="G420" s="12" t="s">
        <v>17002</v>
      </c>
      <c r="H420" s="12">
        <v>1</v>
      </c>
      <c r="I420" s="13" t="str">
        <f>HYPERLINK("http://www.ncbi.nlm.nih.gov/gene/8468", "8468")</f>
        <v>8468</v>
      </c>
      <c r="J420" s="12" t="s">
        <v>17003</v>
      </c>
      <c r="K420" s="12" t="s">
        <v>17004</v>
      </c>
      <c r="L420" s="13" t="str">
        <f>HYPERLINK("http://asia.ensembl.org/Homo_sapiens/Gene/Summary?g=ENSG00000077800", "ENSG00000077800")</f>
        <v>ENSG00000077800</v>
      </c>
      <c r="M420" s="12" t="s">
        <v>17005</v>
      </c>
      <c r="N420" s="12" t="s">
        <v>17006</v>
      </c>
    </row>
    <row r="421" spans="1:14">
      <c r="A421" s="12" t="s">
        <v>10404</v>
      </c>
      <c r="B421" s="8">
        <v>620.93475873089403</v>
      </c>
      <c r="C421" s="12">
        <v>1724.72550280481</v>
      </c>
      <c r="D421" s="8">
        <v>-1.4738531709224401</v>
      </c>
      <c r="E421" s="12">
        <v>1.5752068706529801E-2</v>
      </c>
      <c r="F421" s="8" t="s">
        <v>10405</v>
      </c>
      <c r="G421" s="12" t="s">
        <v>10406</v>
      </c>
      <c r="H421" s="12">
        <v>1</v>
      </c>
      <c r="I421" s="13" t="str">
        <f>HYPERLINK("http://www.ncbi.nlm.nih.gov/gene/100038246", "100038246")</f>
        <v>100038246</v>
      </c>
      <c r="J421" s="12" t="s">
        <v>19727</v>
      </c>
      <c r="K421" s="12" t="s">
        <v>13129</v>
      </c>
      <c r="L421" s="13" t="str">
        <f>HYPERLINK("http://asia.ensembl.org/Homo_sapiens/Gene/Summary?g=ENSG00000236311", "ENSG00000236311")</f>
        <v>ENSG00000236311</v>
      </c>
      <c r="M421" s="12" t="s">
        <v>19728</v>
      </c>
    </row>
    <row r="422" spans="1:14">
      <c r="A422" s="12" t="s">
        <v>9758</v>
      </c>
      <c r="B422" s="8">
        <v>28819.4525850586</v>
      </c>
      <c r="C422" s="12">
        <v>80034.261998022004</v>
      </c>
      <c r="D422" s="8">
        <v>-1.4735748056022899</v>
      </c>
      <c r="E422" s="12">
        <v>6.4217435296471904E-3</v>
      </c>
      <c r="F422" s="8" t="s">
        <v>8613</v>
      </c>
      <c r="G422" s="12" t="s">
        <v>8614</v>
      </c>
      <c r="H422" s="12">
        <v>1</v>
      </c>
      <c r="I422" s="13" t="str">
        <f>HYPERLINK("http://www.ncbi.nlm.nih.gov/gene/84833", "84833")</f>
        <v>84833</v>
      </c>
      <c r="J422" s="12" t="s">
        <v>19300</v>
      </c>
      <c r="K422" s="12" t="s">
        <v>19301</v>
      </c>
      <c r="L422" s="13" t="str">
        <f>HYPERLINK("http://asia.ensembl.org/Homo_sapiens/Gene/Summary?g=ENSG00000173915", "ENSG00000173915")</f>
        <v>ENSG00000173915</v>
      </c>
      <c r="M422" s="12" t="s">
        <v>18933</v>
      </c>
      <c r="N422" s="12" t="s">
        <v>18934</v>
      </c>
    </row>
    <row r="423" spans="1:14">
      <c r="A423" s="12" t="s">
        <v>4678</v>
      </c>
      <c r="B423" s="8">
        <v>20849.787541726098</v>
      </c>
      <c r="C423" s="12">
        <v>57897.540104579901</v>
      </c>
      <c r="D423" s="8">
        <v>-1.4734693709109901</v>
      </c>
      <c r="E423" s="12">
        <v>7.7335402115633499E-3</v>
      </c>
      <c r="F423" s="8" t="s">
        <v>4679</v>
      </c>
      <c r="G423" s="12" t="s">
        <v>17727</v>
      </c>
      <c r="H423" s="12">
        <v>1</v>
      </c>
      <c r="I423" s="13" t="str">
        <f>HYPERLINK("http://www.ncbi.nlm.nih.gov/gene/27089", "27089")</f>
        <v>27089</v>
      </c>
      <c r="J423" s="13" t="str">
        <f>HYPERLINK("http://www.ncbi.nlm.nih.gov/nuccore/NM_014402", "NM_014402")</f>
        <v>NM_014402</v>
      </c>
      <c r="K423" s="12" t="s">
        <v>4680</v>
      </c>
      <c r="L423" s="13" t="str">
        <f>HYPERLINK("http://asia.ensembl.org/Homo_sapiens/Gene/Summary?g=ENSG00000164405", "ENSG00000164405")</f>
        <v>ENSG00000164405</v>
      </c>
      <c r="M423" s="12" t="s">
        <v>17728</v>
      </c>
      <c r="N423" s="12" t="s">
        <v>17729</v>
      </c>
    </row>
    <row r="424" spans="1:14">
      <c r="A424" s="12" t="s">
        <v>9935</v>
      </c>
      <c r="B424" s="8">
        <v>111.631130475417</v>
      </c>
      <c r="C424" s="12">
        <v>309.90752586597398</v>
      </c>
      <c r="D424" s="8">
        <v>-1.4730983837137099</v>
      </c>
      <c r="E424" s="12">
        <v>8.5375949765506502E-3</v>
      </c>
      <c r="F424" s="8" t="s">
        <v>690</v>
      </c>
      <c r="G424" s="12" t="s">
        <v>691</v>
      </c>
      <c r="H424" s="12">
        <v>1</v>
      </c>
      <c r="I424" s="13" t="str">
        <f>HYPERLINK("http://www.ncbi.nlm.nih.gov/gene/64081", "64081")</f>
        <v>64081</v>
      </c>
      <c r="J424" s="13" t="str">
        <f>HYPERLINK("http://www.ncbi.nlm.nih.gov/nuccore/NM_001033083", "NM_001033083")</f>
        <v>NM_001033083</v>
      </c>
      <c r="K424" s="12" t="s">
        <v>9936</v>
      </c>
      <c r="L424" s="13" t="str">
        <f>HYPERLINK("http://asia.ensembl.org/Homo_sapiens/Gene/Summary?g=ENSG00000108187", "ENSG00000108187")</f>
        <v>ENSG00000108187</v>
      </c>
      <c r="M424" s="12" t="s">
        <v>19444</v>
      </c>
      <c r="N424" s="12" t="s">
        <v>19445</v>
      </c>
    </row>
    <row r="425" spans="1:14">
      <c r="A425" s="12" t="s">
        <v>744</v>
      </c>
      <c r="B425" s="8">
        <v>15007.3855856021</v>
      </c>
      <c r="C425" s="12">
        <v>41594.591655235301</v>
      </c>
      <c r="D425" s="8">
        <v>-1.47072328477783</v>
      </c>
      <c r="E425" s="12">
        <v>1.4892854046853301E-3</v>
      </c>
      <c r="F425" s="8" t="s">
        <v>745</v>
      </c>
      <c r="G425" s="12" t="s">
        <v>286</v>
      </c>
      <c r="H425" s="12">
        <v>1</v>
      </c>
      <c r="I425" s="13" t="str">
        <f>HYPERLINK("http://www.ncbi.nlm.nih.gov/gene/4711", "4711")</f>
        <v>4711</v>
      </c>
      <c r="J425" s="12" t="s">
        <v>16429</v>
      </c>
      <c r="K425" s="12" t="s">
        <v>16430</v>
      </c>
      <c r="L425" s="13" t="str">
        <f>HYPERLINK("http://asia.ensembl.org/Homo_sapiens/Gene/Summary?g=ENSG00000136521", "ENSG00000136521")</f>
        <v>ENSG00000136521</v>
      </c>
      <c r="M425" s="12" t="s">
        <v>16431</v>
      </c>
      <c r="N425" s="12" t="s">
        <v>16432</v>
      </c>
    </row>
    <row r="426" spans="1:14">
      <c r="A426" s="12" t="s">
        <v>3973</v>
      </c>
      <c r="B426" s="8">
        <v>130.58102683245701</v>
      </c>
      <c r="C426" s="12">
        <v>361.78644322941199</v>
      </c>
      <c r="D426" s="8">
        <v>-1.47019305731963</v>
      </c>
      <c r="E426" s="12">
        <v>1.90177593373772E-3</v>
      </c>
      <c r="F426" s="8" t="s">
        <v>3974</v>
      </c>
      <c r="G426" s="12" t="s">
        <v>3975</v>
      </c>
      <c r="H426" s="12">
        <v>1</v>
      </c>
      <c r="I426" s="13" t="str">
        <f>HYPERLINK("http://www.ncbi.nlm.nih.gov/gene/198437", "198437")</f>
        <v>198437</v>
      </c>
      <c r="J426" s="13" t="str">
        <f>HYPERLINK("http://www.ncbi.nlm.nih.gov/nuccore/NM_001007125", "NM_001007125")</f>
        <v>NM_001007125</v>
      </c>
      <c r="K426" s="12" t="s">
        <v>3976</v>
      </c>
      <c r="L426" s="13" t="str">
        <f>HYPERLINK("http://asia.ensembl.org/Homo_sapiens/Gene/Summary?g=ENSG00000171695", "ENSG00000171695")</f>
        <v>ENSG00000171695</v>
      </c>
      <c r="M426" s="12" t="s">
        <v>17498</v>
      </c>
      <c r="N426" s="12" t="s">
        <v>17499</v>
      </c>
    </row>
    <row r="427" spans="1:14">
      <c r="A427" s="12" t="s">
        <v>1364</v>
      </c>
      <c r="B427" s="8">
        <v>671.682502801753</v>
      </c>
      <c r="C427" s="12">
        <v>1860.3835290127799</v>
      </c>
      <c r="D427" s="8">
        <v>-1.4697487194786001</v>
      </c>
      <c r="E427" s="12">
        <v>3.3151428359994899E-2</v>
      </c>
      <c r="F427" s="8" t="s">
        <v>1365</v>
      </c>
      <c r="G427" s="12" t="s">
        <v>1366</v>
      </c>
      <c r="H427" s="12">
        <v>1</v>
      </c>
      <c r="I427" s="13" t="str">
        <f>HYPERLINK("http://www.ncbi.nlm.nih.gov/gene/11092", "11092")</f>
        <v>11092</v>
      </c>
      <c r="J427" s="13" t="str">
        <f>HYPERLINK("http://www.ncbi.nlm.nih.gov/nuccore/NM_018956", "NM_018956")</f>
        <v>NM_018956</v>
      </c>
      <c r="K427" s="12" t="s">
        <v>1367</v>
      </c>
      <c r="L427" s="13" t="str">
        <f>HYPERLINK("http://asia.ensembl.org/Homo_sapiens/Gene/Summary?g=ENSG00000165698", "ENSG00000165698")</f>
        <v>ENSG00000165698</v>
      </c>
      <c r="M427" s="12" t="s">
        <v>16588</v>
      </c>
      <c r="N427" s="12" t="s">
        <v>16589</v>
      </c>
    </row>
    <row r="428" spans="1:14">
      <c r="A428" s="12" t="s">
        <v>6229</v>
      </c>
      <c r="B428" s="8">
        <v>1536.1793853276999</v>
      </c>
      <c r="C428" s="12">
        <v>4254.0300891235502</v>
      </c>
      <c r="D428" s="8">
        <v>-1.4694835429292401</v>
      </c>
      <c r="E428" s="12">
        <v>2.1316302778728699E-3</v>
      </c>
      <c r="F428" s="8" t="s">
        <v>6230</v>
      </c>
      <c r="G428" s="12" t="s">
        <v>18090</v>
      </c>
      <c r="H428" s="12">
        <v>1</v>
      </c>
      <c r="I428" s="13" t="str">
        <f>HYPERLINK("http://www.ncbi.nlm.nih.gov/gene/140735", "140735")</f>
        <v>140735</v>
      </c>
      <c r="J428" s="13" t="str">
        <f>HYPERLINK("http://www.ncbi.nlm.nih.gov/nuccore/NM_080677", "NM_080677")</f>
        <v>NM_080677</v>
      </c>
      <c r="K428" s="12" t="s">
        <v>6231</v>
      </c>
      <c r="L428" s="13" t="str">
        <f>HYPERLINK("http://asia.ensembl.org/Homo_sapiens/Gene/Summary?g=ENSG00000264364", "ENSG00000264364")</f>
        <v>ENSG00000264364</v>
      </c>
      <c r="M428" s="12" t="s">
        <v>6232</v>
      </c>
      <c r="N428" s="12" t="s">
        <v>6233</v>
      </c>
    </row>
    <row r="429" spans="1:14">
      <c r="A429" s="12" t="s">
        <v>9966</v>
      </c>
      <c r="B429" s="8">
        <v>49.999999999999901</v>
      </c>
      <c r="C429" s="12">
        <v>138.252198396675</v>
      </c>
      <c r="D429" s="8">
        <v>-1.4673024214420101</v>
      </c>
      <c r="E429" s="12">
        <v>1.08105866202421E-4</v>
      </c>
      <c r="F429" s="8" t="s">
        <v>4923</v>
      </c>
      <c r="G429" s="12" t="s">
        <v>4924</v>
      </c>
      <c r="H429" s="12">
        <v>1</v>
      </c>
      <c r="I429" s="13" t="str">
        <f>HYPERLINK("http://www.ncbi.nlm.nih.gov/gene/27086", "27086")</f>
        <v>27086</v>
      </c>
      <c r="J429" s="13" t="str">
        <f>HYPERLINK("http://www.ncbi.nlm.nih.gov/nuccore/NM_001012505", "NM_001012505")</f>
        <v>NM_001012505</v>
      </c>
      <c r="K429" s="12" t="s">
        <v>9967</v>
      </c>
      <c r="L429" s="13" t="str">
        <f>HYPERLINK("http://asia.ensembl.org/Homo_sapiens/Gene/Summary?g=ENSG00000114861", "ENSG00000114861")</f>
        <v>ENSG00000114861</v>
      </c>
      <c r="M429" s="12" t="s">
        <v>19485</v>
      </c>
      <c r="N429" s="12" t="s">
        <v>19486</v>
      </c>
    </row>
    <row r="430" spans="1:14">
      <c r="A430" s="12" t="s">
        <v>8534</v>
      </c>
      <c r="B430" s="8">
        <v>7494.0916582046202</v>
      </c>
      <c r="C430" s="12">
        <v>20713.841305018101</v>
      </c>
      <c r="D430" s="8">
        <v>-1.4667695927118201</v>
      </c>
      <c r="E430" s="12">
        <v>7.7360855511076397E-3</v>
      </c>
      <c r="F430" s="8" t="s">
        <v>8535</v>
      </c>
      <c r="G430" s="12" t="s">
        <v>18884</v>
      </c>
      <c r="H430" s="12">
        <v>1</v>
      </c>
      <c r="I430" s="13" t="str">
        <f>HYPERLINK("http://www.ncbi.nlm.nih.gov/gene/389541", "389541")</f>
        <v>389541</v>
      </c>
      <c r="J430" s="13" t="str">
        <f>HYPERLINK("http://www.ncbi.nlm.nih.gov/nuccore/NM_001008395", "NM_001008395")</f>
        <v>NM_001008395</v>
      </c>
      <c r="K430" s="12" t="s">
        <v>8536</v>
      </c>
      <c r="L430" s="13" t="str">
        <f>HYPERLINK("http://asia.ensembl.org/Homo_sapiens/Gene/Summary?g=ENSG00000188186", "ENSG00000188186")</f>
        <v>ENSG00000188186</v>
      </c>
      <c r="M430" s="12" t="s">
        <v>18885</v>
      </c>
      <c r="N430" s="12" t="s">
        <v>18886</v>
      </c>
    </row>
    <row r="431" spans="1:14">
      <c r="A431" s="12" t="s">
        <v>6571</v>
      </c>
      <c r="B431" s="8">
        <v>5858.69488280324</v>
      </c>
      <c r="C431" s="12">
        <v>16168.322049313399</v>
      </c>
      <c r="D431" s="8">
        <v>-1.46451874113862</v>
      </c>
      <c r="E431" s="12">
        <v>1.51927633490977E-3</v>
      </c>
      <c r="F431" s="8" t="s">
        <v>6572</v>
      </c>
      <c r="G431" s="12" t="s">
        <v>18211</v>
      </c>
      <c r="H431" s="12">
        <v>1</v>
      </c>
      <c r="I431" s="13" t="str">
        <f>HYPERLINK("http://www.ncbi.nlm.nih.gov/gene/55766", "55766")</f>
        <v>55766</v>
      </c>
      <c r="J431" s="12" t="s">
        <v>18212</v>
      </c>
      <c r="K431" s="12" t="s">
        <v>18213</v>
      </c>
      <c r="L431" s="13" t="str">
        <f>HYPERLINK("http://asia.ensembl.org/Homo_sapiens/Gene/Summary?g=ENSG00000246705", "ENSG00000246705")</f>
        <v>ENSG00000246705</v>
      </c>
      <c r="M431" s="12" t="s">
        <v>18214</v>
      </c>
      <c r="N431" s="12" t="s">
        <v>18215</v>
      </c>
    </row>
    <row r="432" spans="1:14">
      <c r="A432" s="12" t="s">
        <v>11193</v>
      </c>
      <c r="B432" s="8">
        <v>1494.5581037434199</v>
      </c>
      <c r="C432" s="12">
        <v>4124.1865229006899</v>
      </c>
      <c r="D432" s="8">
        <v>-1.4643905967852799</v>
      </c>
      <c r="E432" s="12">
        <v>2.6699870660166999E-3</v>
      </c>
      <c r="F432" s="8" t="s">
        <v>38</v>
      </c>
      <c r="G432" s="12" t="s">
        <v>38</v>
      </c>
      <c r="H432" s="12">
        <v>1</v>
      </c>
      <c r="I432" s="12" t="s">
        <v>38</v>
      </c>
      <c r="J432" s="12" t="s">
        <v>38</v>
      </c>
      <c r="K432" s="12" t="s">
        <v>38</v>
      </c>
      <c r="L432" s="13" t="str">
        <f>HYPERLINK("http://asia.ensembl.org/Homo_sapiens/Gene/Summary?g=ENSG00000106031", "ENSG00000106031")</f>
        <v>ENSG00000106031</v>
      </c>
      <c r="M432" s="12" t="s">
        <v>11194</v>
      </c>
      <c r="N432" s="12" t="s">
        <v>5673</v>
      </c>
    </row>
    <row r="433" spans="1:14">
      <c r="A433" s="12" t="s">
        <v>5360</v>
      </c>
      <c r="B433" s="8">
        <v>115414.225176597</v>
      </c>
      <c r="C433" s="12">
        <v>318445.56435468601</v>
      </c>
      <c r="D433" s="8">
        <v>-1.4642257249547499</v>
      </c>
      <c r="E433" s="12">
        <v>3.6115459064752602E-3</v>
      </c>
      <c r="F433" s="8" t="s">
        <v>5361</v>
      </c>
      <c r="G433" s="12" t="s">
        <v>17865</v>
      </c>
      <c r="H433" s="12">
        <v>1</v>
      </c>
      <c r="I433" s="13" t="str">
        <f>HYPERLINK("http://www.ncbi.nlm.nih.gov/gene/7178", "7178")</f>
        <v>7178</v>
      </c>
      <c r="J433" s="13" t="str">
        <f>HYPERLINK("http://www.ncbi.nlm.nih.gov/nuccore/NM_003295", "NM_003295")</f>
        <v>NM_003295</v>
      </c>
      <c r="K433" s="12" t="s">
        <v>5362</v>
      </c>
      <c r="L433" s="13" t="str">
        <f>HYPERLINK("http://asia.ensembl.org/Homo_sapiens/Gene/Summary?g=ENSG00000133112", "ENSG00000133112")</f>
        <v>ENSG00000133112</v>
      </c>
      <c r="M433" s="12" t="s">
        <v>17866</v>
      </c>
      <c r="N433" s="12" t="s">
        <v>17867</v>
      </c>
    </row>
    <row r="434" spans="1:14">
      <c r="A434" s="12" t="s">
        <v>284</v>
      </c>
      <c r="B434" s="8">
        <v>27823.964573129098</v>
      </c>
      <c r="C434" s="12">
        <v>76765.244115416703</v>
      </c>
      <c r="D434" s="8">
        <v>-1.4641252698437199</v>
      </c>
      <c r="E434" s="12">
        <v>1.9273158523491201E-3</v>
      </c>
      <c r="F434" s="8" t="s">
        <v>285</v>
      </c>
      <c r="G434" s="12" t="s">
        <v>286</v>
      </c>
      <c r="H434" s="12">
        <v>1</v>
      </c>
      <c r="I434" s="13" t="str">
        <f>HYPERLINK("http://www.ncbi.nlm.nih.gov/gene/4706", "4706")</f>
        <v>4706</v>
      </c>
      <c r="J434" s="13" t="str">
        <f>HYPERLINK("http://www.ncbi.nlm.nih.gov/nuccore/NM_005003", "NM_005003")</f>
        <v>NM_005003</v>
      </c>
      <c r="K434" s="12" t="s">
        <v>287</v>
      </c>
      <c r="L434" s="13" t="str">
        <f>HYPERLINK("http://asia.ensembl.org/Homo_sapiens/Gene/Summary?g=ENSG00000004779", "ENSG00000004779")</f>
        <v>ENSG00000004779</v>
      </c>
      <c r="M434" s="12" t="s">
        <v>16307</v>
      </c>
      <c r="N434" s="12" t="s">
        <v>16308</v>
      </c>
    </row>
    <row r="435" spans="1:14">
      <c r="A435" s="12" t="s">
        <v>1052</v>
      </c>
      <c r="B435" s="8">
        <v>36375.535896277201</v>
      </c>
      <c r="C435" s="12">
        <v>100341.43557993999</v>
      </c>
      <c r="D435" s="8">
        <v>-1.46387707638414</v>
      </c>
      <c r="E435" s="12">
        <v>1.6773926898338699E-3</v>
      </c>
      <c r="F435" s="8" t="s">
        <v>1053</v>
      </c>
      <c r="G435" s="12" t="s">
        <v>1054</v>
      </c>
      <c r="H435" s="12">
        <v>1</v>
      </c>
      <c r="I435" s="13" t="str">
        <f>HYPERLINK("http://www.ncbi.nlm.nih.gov/gene/5010", "5010")</f>
        <v>5010</v>
      </c>
      <c r="J435" s="12" t="s">
        <v>16493</v>
      </c>
      <c r="K435" s="12" t="s">
        <v>16494</v>
      </c>
      <c r="L435" s="13" t="str">
        <f>HYPERLINK("http://asia.ensembl.org/Homo_sapiens/Gene/Summary?g=ENSG00000013297", "ENSG00000013297")</f>
        <v>ENSG00000013297</v>
      </c>
      <c r="M435" s="12" t="s">
        <v>16495</v>
      </c>
      <c r="N435" s="12" t="s">
        <v>16496</v>
      </c>
    </row>
    <row r="436" spans="1:14">
      <c r="A436" s="12" t="s">
        <v>1828</v>
      </c>
      <c r="B436" s="8">
        <v>14463.829760586799</v>
      </c>
      <c r="C436" s="12">
        <v>39865.595694741598</v>
      </c>
      <c r="D436" s="8">
        <v>-1.46269462441535</v>
      </c>
      <c r="E436" s="12">
        <v>4.2714051223434199E-3</v>
      </c>
      <c r="F436" s="8" t="s">
        <v>1829</v>
      </c>
      <c r="G436" s="12" t="s">
        <v>286</v>
      </c>
      <c r="H436" s="12">
        <v>1</v>
      </c>
      <c r="I436" s="13" t="str">
        <f>HYPERLINK("http://www.ncbi.nlm.nih.gov/gene/4728", "4728")</f>
        <v>4728</v>
      </c>
      <c r="J436" s="13" t="str">
        <f>HYPERLINK("http://www.ncbi.nlm.nih.gov/nuccore/NM_002496", "NM_002496")</f>
        <v>NM_002496</v>
      </c>
      <c r="K436" s="12" t="s">
        <v>1830</v>
      </c>
      <c r="L436" s="13" t="str">
        <f>HYPERLINK("http://asia.ensembl.org/Homo_sapiens/Gene/Summary?g=ENSG00000110717", "ENSG00000110717")</f>
        <v>ENSG00000110717</v>
      </c>
      <c r="M436" s="12" t="s">
        <v>16803</v>
      </c>
      <c r="N436" s="12" t="s">
        <v>16804</v>
      </c>
    </row>
    <row r="437" spans="1:14">
      <c r="A437" s="12" t="s">
        <v>9098</v>
      </c>
      <c r="B437" s="8">
        <v>25110.826250541901</v>
      </c>
      <c r="C437" s="12">
        <v>69200.060602344398</v>
      </c>
      <c r="D437" s="8">
        <v>-1.4624638012579201</v>
      </c>
      <c r="E437" s="12">
        <v>6.5289947196758803E-3</v>
      </c>
      <c r="F437" s="8" t="s">
        <v>7235</v>
      </c>
      <c r="G437" s="12" t="s">
        <v>7236</v>
      </c>
      <c r="H437" s="12">
        <v>1</v>
      </c>
      <c r="I437" s="13" t="str">
        <f>HYPERLINK("http://www.ncbi.nlm.nih.gov/gene/1349", "1349")</f>
        <v>1349</v>
      </c>
      <c r="J437" s="13" t="str">
        <f>HYPERLINK("http://www.ncbi.nlm.nih.gov/nuccore/NM_001866", "NM_001866")</f>
        <v>NM_001866</v>
      </c>
      <c r="K437" s="12" t="s">
        <v>7237</v>
      </c>
      <c r="L437" s="13" t="str">
        <f>HYPERLINK("http://asia.ensembl.org/Homo_sapiens/Gene/Summary?g=ENSG00000131174", "ENSG00000131174")</f>
        <v>ENSG00000131174</v>
      </c>
      <c r="M437" s="12" t="s">
        <v>18442</v>
      </c>
      <c r="N437" s="12" t="s">
        <v>7238</v>
      </c>
    </row>
    <row r="438" spans="1:14">
      <c r="A438" s="12" t="s">
        <v>10063</v>
      </c>
      <c r="B438" s="8">
        <v>499.45606415900102</v>
      </c>
      <c r="C438" s="12">
        <v>1376.28317882344</v>
      </c>
      <c r="D438" s="8">
        <v>-1.46234766544977</v>
      </c>
      <c r="E438" s="12">
        <v>2.6903617045158701E-2</v>
      </c>
      <c r="F438" s="8" t="s">
        <v>2390</v>
      </c>
      <c r="G438" s="12" t="s">
        <v>2391</v>
      </c>
      <c r="H438" s="12">
        <v>1</v>
      </c>
      <c r="I438" s="13" t="str">
        <f>HYPERLINK("http://www.ncbi.nlm.nih.gov/gene/55734", "55734")</f>
        <v>55734</v>
      </c>
      <c r="J438" s="13" t="str">
        <f>HYPERLINK("http://www.ncbi.nlm.nih.gov/nuccore/NM_199427", "NM_199427")</f>
        <v>NM_199427</v>
      </c>
      <c r="K438" s="12" t="s">
        <v>10064</v>
      </c>
      <c r="L438" s="13" t="str">
        <f>HYPERLINK("http://asia.ensembl.org/Homo_sapiens/Gene/Summary?g=ENSG00000020256", "ENSG00000020256")</f>
        <v>ENSG00000020256</v>
      </c>
      <c r="M438" s="12" t="s">
        <v>19524</v>
      </c>
      <c r="N438" s="12" t="s">
        <v>19525</v>
      </c>
    </row>
    <row r="439" spans="1:14">
      <c r="A439" s="12" t="s">
        <v>5577</v>
      </c>
      <c r="B439" s="8">
        <v>126.233686293308</v>
      </c>
      <c r="C439" s="12">
        <v>347.78368557788798</v>
      </c>
      <c r="D439" s="8">
        <v>-1.46209330346297</v>
      </c>
      <c r="E439" s="12">
        <v>4.6274209458710197E-3</v>
      </c>
      <c r="F439" s="8" t="s">
        <v>5578</v>
      </c>
      <c r="G439" s="12" t="s">
        <v>5579</v>
      </c>
      <c r="H439" s="12">
        <v>1</v>
      </c>
      <c r="I439" s="13" t="str">
        <f>HYPERLINK("http://www.ncbi.nlm.nih.gov/gene/4542", "4542")</f>
        <v>4542</v>
      </c>
      <c r="J439" s="13" t="str">
        <f>HYPERLINK("http://www.ncbi.nlm.nih.gov/nuccore/NM_012335", "NM_012335")</f>
        <v>NM_012335</v>
      </c>
      <c r="K439" s="12" t="s">
        <v>5580</v>
      </c>
      <c r="L439" s="13" t="str">
        <f>HYPERLINK("http://asia.ensembl.org/Homo_sapiens/Gene/Summary?g=ENSG00000142347", "ENSG00000142347")</f>
        <v>ENSG00000142347</v>
      </c>
      <c r="M439" s="12" t="s">
        <v>17907</v>
      </c>
      <c r="N439" s="12" t="s">
        <v>17908</v>
      </c>
    </row>
    <row r="440" spans="1:14">
      <c r="A440" s="12" t="s">
        <v>4135</v>
      </c>
      <c r="B440" s="8">
        <v>135.83465398804901</v>
      </c>
      <c r="C440" s="12">
        <v>374.13377671488098</v>
      </c>
      <c r="D440" s="8">
        <v>-1.4617026326410101</v>
      </c>
      <c r="E440" s="12">
        <v>2.5906245068178201E-3</v>
      </c>
      <c r="F440" s="8" t="s">
        <v>4136</v>
      </c>
      <c r="G440" s="12" t="s">
        <v>17574</v>
      </c>
      <c r="H440" s="12">
        <v>1</v>
      </c>
      <c r="I440" s="13" t="str">
        <f>HYPERLINK("http://www.ncbi.nlm.nih.gov/gene/116362", "116362")</f>
        <v>116362</v>
      </c>
      <c r="J440" s="13" t="str">
        <f>HYPERLINK("http://www.ncbi.nlm.nih.gov/nuccore/NM_052960", "NM_052960")</f>
        <v>NM_052960</v>
      </c>
      <c r="K440" s="12" t="s">
        <v>4137</v>
      </c>
      <c r="L440" s="13" t="str">
        <f>HYPERLINK("http://asia.ensembl.org/Homo_sapiens/Gene/Summary?g=ENSG00000162444", "ENSG00000162444")</f>
        <v>ENSG00000162444</v>
      </c>
      <c r="M440" s="12" t="s">
        <v>17575</v>
      </c>
      <c r="N440" s="12" t="s">
        <v>17576</v>
      </c>
    </row>
    <row r="441" spans="1:14">
      <c r="A441" s="12" t="s">
        <v>6259</v>
      </c>
      <c r="B441" s="8">
        <v>33063.272136965497</v>
      </c>
      <c r="C441" s="12">
        <v>90910.277652362201</v>
      </c>
      <c r="D441" s="8">
        <v>-1.4592138948795501</v>
      </c>
      <c r="E441" s="12">
        <v>6.2862330854917201E-3</v>
      </c>
      <c r="F441" s="8" t="s">
        <v>6260</v>
      </c>
      <c r="G441" s="12" t="s">
        <v>18099</v>
      </c>
      <c r="H441" s="12">
        <v>1</v>
      </c>
      <c r="I441" s="13" t="str">
        <f>HYPERLINK("http://www.ncbi.nlm.nih.gov/gene/51690", "51690")</f>
        <v>51690</v>
      </c>
      <c r="J441" s="13" t="str">
        <f>HYPERLINK("http://www.ncbi.nlm.nih.gov/nuccore/NM_016199", "NM_016199")</f>
        <v>NM_016199</v>
      </c>
      <c r="K441" s="12" t="s">
        <v>6261</v>
      </c>
      <c r="L441" s="13" t="str">
        <f>HYPERLINK("http://asia.ensembl.org/Homo_sapiens/Gene/Summary?g=ENSG00000130332", "ENSG00000130332")</f>
        <v>ENSG00000130332</v>
      </c>
      <c r="M441" s="12" t="s">
        <v>18100</v>
      </c>
      <c r="N441" s="12" t="s">
        <v>18101</v>
      </c>
    </row>
    <row r="442" spans="1:14">
      <c r="A442" s="12" t="s">
        <v>7961</v>
      </c>
      <c r="B442" s="8">
        <v>90.805546355694702</v>
      </c>
      <c r="C442" s="12">
        <v>249.38773812379901</v>
      </c>
      <c r="D442" s="8">
        <v>-1.45753820821269</v>
      </c>
      <c r="E442" s="12">
        <v>3.1333497871782298E-3</v>
      </c>
      <c r="F442" s="8" t="s">
        <v>7962</v>
      </c>
      <c r="G442" s="12" t="s">
        <v>18690</v>
      </c>
      <c r="H442" s="12">
        <v>1</v>
      </c>
      <c r="I442" s="13" t="str">
        <f>HYPERLINK("http://www.ncbi.nlm.nih.gov/gene/163933", "163933")</f>
        <v>163933</v>
      </c>
      <c r="J442" s="13" t="str">
        <f>HYPERLINK("http://www.ncbi.nlm.nih.gov/nuccore/NM_207334", "NM_207334")</f>
        <v>NM_207334</v>
      </c>
      <c r="K442" s="12" t="s">
        <v>7963</v>
      </c>
      <c r="L442" s="13" t="str">
        <f>HYPERLINK("http://asia.ensembl.org/Homo_sapiens/Gene/Summary?g=ENSG00000183114", "ENSG00000183114")</f>
        <v>ENSG00000183114</v>
      </c>
      <c r="M442" s="12" t="s">
        <v>7964</v>
      </c>
      <c r="N442" s="12" t="s">
        <v>7965</v>
      </c>
    </row>
    <row r="443" spans="1:14">
      <c r="A443" s="12" t="s">
        <v>3907</v>
      </c>
      <c r="B443" s="8">
        <v>1777.0620268596499</v>
      </c>
      <c r="C443" s="12">
        <v>4878.9906709854304</v>
      </c>
      <c r="D443" s="8">
        <v>-1.4570886864141299</v>
      </c>
      <c r="E443" s="12">
        <v>1.0887864059305401E-3</v>
      </c>
      <c r="F443" s="8" t="s">
        <v>3908</v>
      </c>
      <c r="G443" s="12" t="s">
        <v>3909</v>
      </c>
      <c r="H443" s="12">
        <v>1</v>
      </c>
      <c r="I443" s="13" t="str">
        <f>HYPERLINK("http://www.ncbi.nlm.nih.gov/gene/219902", "219902")</f>
        <v>219902</v>
      </c>
      <c r="J443" s="12" t="s">
        <v>17470</v>
      </c>
      <c r="K443" s="12" t="s">
        <v>17471</v>
      </c>
      <c r="L443" s="13" t="str">
        <f>HYPERLINK("http://asia.ensembl.org/Homo_sapiens/Gene/Summary?g=ENSG00000181264", "ENSG00000181264")</f>
        <v>ENSG00000181264</v>
      </c>
      <c r="M443" s="12" t="s">
        <v>17472</v>
      </c>
      <c r="N443" s="12" t="s">
        <v>17473</v>
      </c>
    </row>
    <row r="444" spans="1:14">
      <c r="A444" s="12" t="s">
        <v>8427</v>
      </c>
      <c r="B444" s="8">
        <v>13232.8671381564</v>
      </c>
      <c r="C444" s="12">
        <v>36319.044751960697</v>
      </c>
      <c r="D444" s="8">
        <v>-1.4566005767197401</v>
      </c>
      <c r="E444" s="12">
        <v>9.3453884207748606E-5</v>
      </c>
      <c r="F444" s="8" t="s">
        <v>2025</v>
      </c>
      <c r="G444" s="12" t="s">
        <v>2026</v>
      </c>
      <c r="H444" s="12">
        <v>1</v>
      </c>
      <c r="I444" s="13" t="str">
        <f>HYPERLINK("http://www.ncbi.nlm.nih.gov/gene/51596", "51596")</f>
        <v>51596</v>
      </c>
      <c r="J444" s="12" t="s">
        <v>16885</v>
      </c>
      <c r="K444" s="12" t="s">
        <v>16886</v>
      </c>
      <c r="L444" s="13" t="str">
        <f>HYPERLINK("http://asia.ensembl.org/Homo_sapiens/Gene/Summary?g=ENSG00000112514", "ENSG00000112514")</f>
        <v>ENSG00000112514</v>
      </c>
      <c r="M444" s="12" t="s">
        <v>16887</v>
      </c>
      <c r="N444" s="12" t="s">
        <v>16888</v>
      </c>
    </row>
    <row r="445" spans="1:14">
      <c r="A445" s="12" t="s">
        <v>4933</v>
      </c>
      <c r="B445" s="8">
        <v>967.25056425066998</v>
      </c>
      <c r="C445" s="12">
        <v>2654.6160454607598</v>
      </c>
      <c r="D445" s="8">
        <v>-1.4565416392820401</v>
      </c>
      <c r="E445" s="12">
        <v>1.3936726823436899E-3</v>
      </c>
      <c r="F445" s="8" t="s">
        <v>4934</v>
      </c>
      <c r="G445" s="12" t="s">
        <v>4935</v>
      </c>
      <c r="H445" s="12">
        <v>1</v>
      </c>
      <c r="I445" s="13" t="str">
        <f>HYPERLINK("http://www.ncbi.nlm.nih.gov/gene/2644", "2644")</f>
        <v>2644</v>
      </c>
      <c r="J445" s="13" t="str">
        <f>HYPERLINK("http://www.ncbi.nlm.nih.gov/nuccore/NM_005258", "NM_005258")</f>
        <v>NM_005258</v>
      </c>
      <c r="K445" s="12" t="s">
        <v>4936</v>
      </c>
      <c r="L445" s="13" t="str">
        <f>HYPERLINK("http://asia.ensembl.org/Homo_sapiens/Gene/Summary?g=ENSG00000137880", "ENSG00000137880")</f>
        <v>ENSG00000137880</v>
      </c>
      <c r="M445" s="12" t="s">
        <v>17767</v>
      </c>
      <c r="N445" s="12" t="s">
        <v>17768</v>
      </c>
    </row>
    <row r="446" spans="1:14">
      <c r="A446" s="12" t="s">
        <v>8751</v>
      </c>
      <c r="B446" s="8">
        <v>680.89979626464401</v>
      </c>
      <c r="C446" s="12">
        <v>1868.4848612619001</v>
      </c>
      <c r="D446" s="8">
        <v>-1.45635446821307</v>
      </c>
      <c r="E446" s="12">
        <v>1.63910104195868E-3</v>
      </c>
      <c r="F446" s="8" t="s">
        <v>4349</v>
      </c>
      <c r="G446" s="12" t="s">
        <v>4350</v>
      </c>
      <c r="H446" s="12">
        <v>1</v>
      </c>
      <c r="I446" s="13" t="str">
        <f>HYPERLINK("http://www.ncbi.nlm.nih.gov/gene/3204", "3204")</f>
        <v>3204</v>
      </c>
      <c r="J446" s="13" t="str">
        <f>HYPERLINK("http://www.ncbi.nlm.nih.gov/nuccore/NM_006896", "NM_006896")</f>
        <v>NM_006896</v>
      </c>
      <c r="K446" s="12" t="s">
        <v>4351</v>
      </c>
      <c r="L446" s="13" t="str">
        <f>HYPERLINK("http://asia.ensembl.org/Homo_sapiens/Gene/Summary?g=ENSG00000122592", "ENSG00000122592")</f>
        <v>ENSG00000122592</v>
      </c>
      <c r="M446" s="12" t="s">
        <v>17662</v>
      </c>
      <c r="N446" s="12" t="s">
        <v>17663</v>
      </c>
    </row>
    <row r="447" spans="1:14">
      <c r="A447" s="12" t="s">
        <v>11041</v>
      </c>
      <c r="B447" s="8">
        <v>151.96570762290699</v>
      </c>
      <c r="C447" s="12">
        <v>416.99359231548902</v>
      </c>
      <c r="D447" s="8">
        <v>-1.4562794110572801</v>
      </c>
      <c r="E447" s="12">
        <v>3.3670150899322501E-2</v>
      </c>
      <c r="F447" s="8" t="s">
        <v>11042</v>
      </c>
      <c r="G447" s="12" t="s">
        <v>19940</v>
      </c>
      <c r="H447" s="12">
        <v>1</v>
      </c>
      <c r="I447" s="13" t="str">
        <f>HYPERLINK("http://www.ncbi.nlm.nih.gov/gene/147664", "147664")</f>
        <v>147664</v>
      </c>
      <c r="J447" s="13" t="str">
        <f>HYPERLINK("http://www.ncbi.nlm.nih.gov/nuccore/NM_152473", "NM_152473")</f>
        <v>NM_152473</v>
      </c>
      <c r="K447" s="12" t="s">
        <v>11043</v>
      </c>
      <c r="L447" s="13" t="str">
        <f>HYPERLINK("http://asia.ensembl.org/Homo_sapiens/Gene/Summary?g=ENSG00000269526", "ENSG00000269526")</f>
        <v>ENSG00000269526</v>
      </c>
      <c r="M447" s="12" t="s">
        <v>11044</v>
      </c>
      <c r="N447" s="12" t="s">
        <v>11045</v>
      </c>
    </row>
    <row r="448" spans="1:14">
      <c r="A448" s="12" t="s">
        <v>8539</v>
      </c>
      <c r="B448" s="8">
        <v>53.961091518317602</v>
      </c>
      <c r="C448" s="12">
        <v>148.04000000913899</v>
      </c>
      <c r="D448" s="8">
        <v>-1.4559956044881399</v>
      </c>
      <c r="E448" s="12">
        <v>2.0947606787552898E-2</v>
      </c>
      <c r="F448" s="8" t="s">
        <v>7205</v>
      </c>
      <c r="G448" s="12" t="s">
        <v>18887</v>
      </c>
      <c r="H448" s="12">
        <v>1</v>
      </c>
      <c r="I448" s="13" t="str">
        <f>HYPERLINK("http://www.ncbi.nlm.nih.gov/gene/3122", "3122")</f>
        <v>3122</v>
      </c>
      <c r="J448" s="13" t="str">
        <f>HYPERLINK("http://www.ncbi.nlm.nih.gov/nuccore/NM_019111", "NM_019111")</f>
        <v>NM_019111</v>
      </c>
      <c r="K448" s="12" t="s">
        <v>7206</v>
      </c>
      <c r="L448" s="13" t="str">
        <f>HYPERLINK("http://asia.ensembl.org/Homo_sapiens/Gene/Summary?g=ENSG00000230726", "ENSG00000230726")</f>
        <v>ENSG00000230726</v>
      </c>
      <c r="M448" s="12" t="s">
        <v>18888</v>
      </c>
      <c r="N448" s="12" t="s">
        <v>18889</v>
      </c>
    </row>
    <row r="449" spans="1:14">
      <c r="A449" s="12" t="s">
        <v>6915</v>
      </c>
      <c r="B449" s="8">
        <v>23460.608536134499</v>
      </c>
      <c r="C449" s="12">
        <v>64265.149514833603</v>
      </c>
      <c r="D449" s="8">
        <v>-1.4537961520462701</v>
      </c>
      <c r="E449" s="12">
        <v>1.0913010197350201E-3</v>
      </c>
      <c r="F449" s="8" t="s">
        <v>6916</v>
      </c>
      <c r="G449" s="12" t="s">
        <v>6917</v>
      </c>
      <c r="H449" s="12">
        <v>1</v>
      </c>
      <c r="I449" s="13" t="str">
        <f>HYPERLINK("http://www.ncbi.nlm.nih.gov/gene/5111", "5111")</f>
        <v>5111</v>
      </c>
      <c r="J449" s="12" t="s">
        <v>18302</v>
      </c>
      <c r="K449" s="12" t="s">
        <v>18303</v>
      </c>
      <c r="L449" s="13" t="str">
        <f>HYPERLINK("http://asia.ensembl.org/Homo_sapiens/Gene/Summary?g=ENSG00000132646", "ENSG00000132646")</f>
        <v>ENSG00000132646</v>
      </c>
      <c r="M449" s="12" t="s">
        <v>18304</v>
      </c>
      <c r="N449" s="12" t="s">
        <v>18305</v>
      </c>
    </row>
    <row r="450" spans="1:14">
      <c r="A450" s="12" t="s">
        <v>1686</v>
      </c>
      <c r="B450" s="8">
        <v>6732.5151961152696</v>
      </c>
      <c r="C450" s="12">
        <v>18439.550293774599</v>
      </c>
      <c r="D450" s="8">
        <v>-1.45358598537266</v>
      </c>
      <c r="E450" s="12">
        <v>4.00509927334659E-3</v>
      </c>
      <c r="F450" s="8" t="s">
        <v>1687</v>
      </c>
      <c r="G450" s="12" t="s">
        <v>1688</v>
      </c>
      <c r="H450" s="12">
        <v>1</v>
      </c>
      <c r="I450" s="13" t="str">
        <f>HYPERLINK("http://www.ncbi.nlm.nih.gov/gene/29903", "29903")</f>
        <v>29903</v>
      </c>
      <c r="J450" s="13" t="str">
        <f>HYPERLINK("http://www.ncbi.nlm.nih.gov/nuccore/NM_013301", "NM_013301")</f>
        <v>NM_013301</v>
      </c>
      <c r="K450" s="12" t="s">
        <v>1689</v>
      </c>
      <c r="L450" s="13" t="str">
        <f>HYPERLINK("http://asia.ensembl.org/Homo_sapiens/Gene/Summary?g=ENSG00000173581", "ENSG00000173581")</f>
        <v>ENSG00000173581</v>
      </c>
      <c r="M450" s="12" t="s">
        <v>16756</v>
      </c>
      <c r="N450" s="12" t="s">
        <v>16757</v>
      </c>
    </row>
    <row r="451" spans="1:14">
      <c r="A451" s="12" t="s">
        <v>540</v>
      </c>
      <c r="B451" s="8">
        <v>8085.5606202122499</v>
      </c>
      <c r="C451" s="12">
        <v>22114.8657110653</v>
      </c>
      <c r="D451" s="8">
        <v>-1.4515967687876601</v>
      </c>
      <c r="E451" s="12">
        <v>3.9420325327669996E-3</v>
      </c>
      <c r="F451" s="8" t="s">
        <v>541</v>
      </c>
      <c r="G451" s="12" t="s">
        <v>542</v>
      </c>
      <c r="H451" s="12">
        <v>1</v>
      </c>
      <c r="I451" s="13" t="str">
        <f>HYPERLINK("http://www.ncbi.nlm.nih.gov/gene/51255", "51255")</f>
        <v>51255</v>
      </c>
      <c r="J451" s="13" t="str">
        <f>HYPERLINK("http://www.ncbi.nlm.nih.gov/nuccore/NM_016494", "NM_016494")</f>
        <v>NM_016494</v>
      </c>
      <c r="K451" s="12" t="s">
        <v>543</v>
      </c>
      <c r="L451" s="13" t="str">
        <f>HYPERLINK("http://asia.ensembl.org/Homo_sapiens/Gene/Summary?g=ENSG00000168894", "ENSG00000168894")</f>
        <v>ENSG00000168894</v>
      </c>
      <c r="M451" s="12" t="s">
        <v>16368</v>
      </c>
      <c r="N451" s="12" t="s">
        <v>16369</v>
      </c>
    </row>
    <row r="452" spans="1:14">
      <c r="A452" s="12" t="s">
        <v>5774</v>
      </c>
      <c r="B452" s="8">
        <v>7670.6165415294699</v>
      </c>
      <c r="C452" s="12">
        <v>20979.229454073698</v>
      </c>
      <c r="D452" s="8">
        <v>-1.45154724308253</v>
      </c>
      <c r="E452" s="12">
        <v>2.0291719185484901E-3</v>
      </c>
      <c r="F452" s="8" t="s">
        <v>5775</v>
      </c>
      <c r="G452" s="12" t="s">
        <v>5776</v>
      </c>
      <c r="H452" s="12">
        <v>1</v>
      </c>
      <c r="I452" s="13" t="str">
        <f>HYPERLINK("http://www.ncbi.nlm.nih.gov/gene/150684", "150684")</f>
        <v>150684</v>
      </c>
      <c r="J452" s="13" t="str">
        <f>HYPERLINK("http://www.ncbi.nlm.nih.gov/nuccore/NM_152516", "NM_152516")</f>
        <v>NM_152516</v>
      </c>
      <c r="K452" s="12" t="s">
        <v>5777</v>
      </c>
      <c r="L452" s="13" t="str">
        <f>HYPERLINK("http://asia.ensembl.org/Homo_sapiens/Gene/Summary?g=ENSG00000173163", "ENSG00000173163")</f>
        <v>ENSG00000173163</v>
      </c>
      <c r="M452" s="12" t="s">
        <v>17971</v>
      </c>
      <c r="N452" s="12" t="s">
        <v>17972</v>
      </c>
    </row>
    <row r="453" spans="1:14">
      <c r="A453" s="12" t="s">
        <v>3583</v>
      </c>
      <c r="B453" s="8">
        <v>443.78850111414198</v>
      </c>
      <c r="C453" s="12">
        <v>1213.65673615319</v>
      </c>
      <c r="D453" s="8">
        <v>-1.4514162436898701</v>
      </c>
      <c r="E453" s="12">
        <v>2.42564538510864E-3</v>
      </c>
      <c r="F453" s="8" t="s">
        <v>3584</v>
      </c>
      <c r="G453" s="12" t="s">
        <v>3585</v>
      </c>
      <c r="H453" s="12">
        <v>1</v>
      </c>
      <c r="I453" s="13" t="str">
        <f>HYPERLINK("http://www.ncbi.nlm.nih.gov/gene/83897", "83897")</f>
        <v>83897</v>
      </c>
      <c r="J453" s="13" t="str">
        <f>HYPERLINK("http://www.ncbi.nlm.nih.gov/nuccore/NM_031959", "NM_031959")</f>
        <v>NM_031959</v>
      </c>
      <c r="K453" s="12" t="s">
        <v>3586</v>
      </c>
      <c r="L453" s="13" t="str">
        <f>HYPERLINK("http://asia.ensembl.org/Homo_sapiens/Gene/Summary?g=ENSG00000263296", "ENSG00000263296")</f>
        <v>ENSG00000263296</v>
      </c>
      <c r="M453" s="12" t="s">
        <v>3587</v>
      </c>
      <c r="N453" s="12" t="s">
        <v>3588</v>
      </c>
    </row>
    <row r="454" spans="1:14">
      <c r="A454" s="12" t="s">
        <v>9764</v>
      </c>
      <c r="B454" s="8">
        <v>25393.467935290599</v>
      </c>
      <c r="C454" s="12">
        <v>69415.356900901199</v>
      </c>
      <c r="D454" s="8">
        <v>-1.45079743405285</v>
      </c>
      <c r="E454" s="12">
        <v>3.2237065033546E-3</v>
      </c>
      <c r="F454" s="8" t="s">
        <v>9765</v>
      </c>
      <c r="G454" s="12" t="s">
        <v>9766</v>
      </c>
      <c r="H454" s="12">
        <v>1</v>
      </c>
      <c r="I454" s="13" t="str">
        <f>HYPERLINK("http://www.ncbi.nlm.nih.gov/gene/126003", "126003")</f>
        <v>126003</v>
      </c>
      <c r="J454" s="12" t="s">
        <v>19310</v>
      </c>
      <c r="K454" s="12" t="s">
        <v>19311</v>
      </c>
      <c r="L454" s="13" t="str">
        <f>HYPERLINK("http://asia.ensembl.org/Homo_sapiens/Gene/Summary?g=ENSG00000181029", "ENSG00000181029")</f>
        <v>ENSG00000181029</v>
      </c>
      <c r="M454" s="12" t="s">
        <v>19312</v>
      </c>
      <c r="N454" s="12" t="s">
        <v>19313</v>
      </c>
    </row>
    <row r="455" spans="1:14">
      <c r="A455" s="12" t="s">
        <v>11106</v>
      </c>
      <c r="B455" s="8">
        <v>17585.938214288301</v>
      </c>
      <c r="C455" s="12">
        <v>48047.650747637803</v>
      </c>
      <c r="D455" s="8">
        <v>-1.4500435881112901</v>
      </c>
      <c r="E455" s="12">
        <v>2.4820743942800998E-3</v>
      </c>
      <c r="F455" s="8" t="s">
        <v>11107</v>
      </c>
      <c r="G455" s="12" t="s">
        <v>15570</v>
      </c>
      <c r="H455" s="12">
        <v>1</v>
      </c>
      <c r="I455" s="13" t="str">
        <f>HYPERLINK("http://www.ncbi.nlm.nih.gov/gene/5710", "5710")</f>
        <v>5710</v>
      </c>
      <c r="J455" s="13" t="str">
        <f>HYPERLINK("http://www.ncbi.nlm.nih.gov/nuccore/NM_002810", "NM_002810")</f>
        <v>NM_002810</v>
      </c>
      <c r="K455" s="12" t="s">
        <v>11108</v>
      </c>
      <c r="L455" s="13" t="str">
        <f>HYPERLINK("http://asia.ensembl.org/Homo_sapiens/Gene/Summary?g=ENSG00000159352", "ENSG00000159352")</f>
        <v>ENSG00000159352</v>
      </c>
      <c r="M455" s="12" t="s">
        <v>19967</v>
      </c>
      <c r="N455" s="12" t="s">
        <v>19968</v>
      </c>
    </row>
    <row r="456" spans="1:14">
      <c r="A456" s="12" t="s">
        <v>9333</v>
      </c>
      <c r="B456" s="8">
        <v>2722.8374348447601</v>
      </c>
      <c r="C456" s="12">
        <v>7438.0663969327798</v>
      </c>
      <c r="D456" s="8">
        <v>-1.4498167765973</v>
      </c>
      <c r="E456" s="12">
        <v>7.30361660033559E-3</v>
      </c>
      <c r="F456" s="8" t="s">
        <v>9334</v>
      </c>
      <c r="G456" s="12" t="s">
        <v>9335</v>
      </c>
      <c r="H456" s="12">
        <v>1</v>
      </c>
      <c r="I456" s="13" t="str">
        <f>HYPERLINK("http://www.ncbi.nlm.nih.gov/gene/283849", "283849")</f>
        <v>283849</v>
      </c>
      <c r="J456" s="13" t="str">
        <f>HYPERLINK("http://www.ncbi.nlm.nih.gov/nuccore/NM_178516", "NM_178516")</f>
        <v>NM_178516</v>
      </c>
      <c r="K456" s="12" t="s">
        <v>9336</v>
      </c>
      <c r="L456" s="13" t="str">
        <f>HYPERLINK("http://asia.ensembl.org/Homo_sapiens/Gene/Summary?g=ENSG00000179044", "ENSG00000179044")</f>
        <v>ENSG00000179044</v>
      </c>
      <c r="M456" s="12" t="s">
        <v>19127</v>
      </c>
      <c r="N456" s="12" t="s">
        <v>19128</v>
      </c>
    </row>
    <row r="457" spans="1:14">
      <c r="A457" s="12" t="s">
        <v>1600</v>
      </c>
      <c r="B457" s="8">
        <v>24931.382196595299</v>
      </c>
      <c r="C457" s="12">
        <v>68071.378473882301</v>
      </c>
      <c r="D457" s="8">
        <v>-1.44908545710111</v>
      </c>
      <c r="E457" s="12">
        <v>3.60710228286008E-3</v>
      </c>
      <c r="F457" s="8" t="s">
        <v>1601</v>
      </c>
      <c r="G457" s="12" t="s">
        <v>16703</v>
      </c>
      <c r="H457" s="12">
        <v>1</v>
      </c>
      <c r="I457" s="13" t="str">
        <f>HYPERLINK("http://www.ncbi.nlm.nih.gov/gene/9296", "9296")</f>
        <v>9296</v>
      </c>
      <c r="J457" s="12" t="s">
        <v>16704</v>
      </c>
      <c r="K457" s="12" t="s">
        <v>16705</v>
      </c>
      <c r="L457" s="13" t="str">
        <f>HYPERLINK("http://asia.ensembl.org/Homo_sapiens/Gene/Summary?g=ENSG00000128524", "ENSG00000128524")</f>
        <v>ENSG00000128524</v>
      </c>
      <c r="M457" s="12" t="s">
        <v>16706</v>
      </c>
      <c r="N457" s="12" t="s">
        <v>16707</v>
      </c>
    </row>
    <row r="458" spans="1:14">
      <c r="A458" s="12" t="s">
        <v>5013</v>
      </c>
      <c r="B458" s="8">
        <v>79856.829774217898</v>
      </c>
      <c r="C458" s="12">
        <v>217990.59833740001</v>
      </c>
      <c r="D458" s="8">
        <v>-1.4487782098466</v>
      </c>
      <c r="E458" s="12">
        <v>1.5601842837629999E-3</v>
      </c>
      <c r="F458" s="8" t="s">
        <v>5014</v>
      </c>
      <c r="G458" s="12" t="s">
        <v>5015</v>
      </c>
      <c r="H458" s="12">
        <v>1</v>
      </c>
      <c r="I458" s="13" t="str">
        <f>HYPERLINK("http://www.ncbi.nlm.nih.gov/gene/125144", "125144")</f>
        <v>125144</v>
      </c>
      <c r="J458" s="12" t="s">
        <v>17780</v>
      </c>
      <c r="K458" s="12" t="s">
        <v>17781</v>
      </c>
      <c r="L458" s="13" t="str">
        <f>HYPERLINK("http://asia.ensembl.org/Homo_sapiens/Gene/Summary?g=ENSG00000175061", "ENSG00000175061")</f>
        <v>ENSG00000175061</v>
      </c>
      <c r="M458" s="12" t="s">
        <v>17782</v>
      </c>
    </row>
    <row r="459" spans="1:14">
      <c r="A459" s="12" t="s">
        <v>5198</v>
      </c>
      <c r="B459" s="8">
        <v>1200.53467422781</v>
      </c>
      <c r="C459" s="12">
        <v>3277.1680607988401</v>
      </c>
      <c r="D459" s="8">
        <v>-1.4487725869829799</v>
      </c>
      <c r="E459" s="12">
        <v>3.3718949036032498E-3</v>
      </c>
      <c r="F459" s="8" t="s">
        <v>5199</v>
      </c>
      <c r="G459" s="12" t="s">
        <v>5200</v>
      </c>
      <c r="H459" s="12">
        <v>1</v>
      </c>
      <c r="I459" s="13" t="str">
        <f>HYPERLINK("http://www.ncbi.nlm.nih.gov/gene/54997", "54997")</f>
        <v>54997</v>
      </c>
      <c r="J459" s="12" t="s">
        <v>17824</v>
      </c>
      <c r="K459" s="12" t="s">
        <v>17825</v>
      </c>
      <c r="L459" s="13" t="str">
        <f>HYPERLINK("http://asia.ensembl.org/Homo_sapiens/Gene/Summary?g=ENSG00000088992", "ENSG00000088992")</f>
        <v>ENSG00000088992</v>
      </c>
      <c r="M459" s="12" t="s">
        <v>17826</v>
      </c>
      <c r="N459" s="12" t="s">
        <v>17827</v>
      </c>
    </row>
    <row r="460" spans="1:14">
      <c r="A460" s="12" t="s">
        <v>3903</v>
      </c>
      <c r="B460" s="8">
        <v>383.68358165551399</v>
      </c>
      <c r="C460" s="12">
        <v>1046.7104777171701</v>
      </c>
      <c r="D460" s="8">
        <v>-1.4478735085330099</v>
      </c>
      <c r="E460" s="12">
        <v>3.1519243296558098E-4</v>
      </c>
      <c r="F460" s="8" t="s">
        <v>3904</v>
      </c>
      <c r="G460" s="12" t="s">
        <v>3905</v>
      </c>
      <c r="H460" s="12">
        <v>1</v>
      </c>
      <c r="I460" s="13" t="str">
        <f>HYPERLINK("http://www.ncbi.nlm.nih.gov/gene/79176", "79176")</f>
        <v>79176</v>
      </c>
      <c r="J460" s="13" t="str">
        <f>HYPERLINK("http://www.ncbi.nlm.nih.gov/nuccore/NM_024326", "NM_024326")</f>
        <v>NM_024326</v>
      </c>
      <c r="K460" s="12" t="s">
        <v>3906</v>
      </c>
      <c r="L460" s="13" t="str">
        <f>HYPERLINK("http://asia.ensembl.org/Homo_sapiens/Gene/Summary?g=ENSG00000107872", "ENSG00000107872")</f>
        <v>ENSG00000107872</v>
      </c>
      <c r="M460" s="12" t="s">
        <v>17468</v>
      </c>
      <c r="N460" s="12" t="s">
        <v>17469</v>
      </c>
    </row>
    <row r="461" spans="1:14">
      <c r="A461" s="12" t="s">
        <v>9271</v>
      </c>
      <c r="B461" s="8">
        <v>763.38066883792601</v>
      </c>
      <c r="C461" s="12">
        <v>2081.8442115834</v>
      </c>
      <c r="D461" s="8">
        <v>-1.4473875544013699</v>
      </c>
      <c r="E461" s="12">
        <v>3.86671544102351E-3</v>
      </c>
      <c r="F461" s="8" t="s">
        <v>9272</v>
      </c>
      <c r="G461" s="12" t="s">
        <v>9273</v>
      </c>
      <c r="H461" s="12">
        <v>1</v>
      </c>
      <c r="I461" s="13" t="str">
        <f>HYPERLINK("http://www.ncbi.nlm.nih.gov/gene/347273", "347273")</f>
        <v>347273</v>
      </c>
      <c r="J461" s="13" t="str">
        <f>HYPERLINK("http://www.ncbi.nlm.nih.gov/nuccore/NM_001018116", "NM_001018116")</f>
        <v>NM_001018116</v>
      </c>
      <c r="K461" s="12" t="s">
        <v>9274</v>
      </c>
      <c r="L461" s="13" t="str">
        <f>HYPERLINK("http://asia.ensembl.org/Homo_sapiens/Gene/Summary?g=ENSG00000170681", "ENSG00000170681")</f>
        <v>ENSG00000170681</v>
      </c>
      <c r="M461" s="12" t="s">
        <v>9275</v>
      </c>
      <c r="N461" s="12" t="s">
        <v>9276</v>
      </c>
    </row>
    <row r="462" spans="1:14">
      <c r="A462" s="12" t="s">
        <v>7837</v>
      </c>
      <c r="B462" s="8">
        <v>228.47292576752901</v>
      </c>
      <c r="C462" s="12">
        <v>622.51906947770794</v>
      </c>
      <c r="D462" s="8">
        <v>-1.44609481674454</v>
      </c>
      <c r="E462" s="12">
        <v>3.62708627961177E-2</v>
      </c>
      <c r="F462" s="8" t="s">
        <v>7838</v>
      </c>
      <c r="G462" s="12" t="s">
        <v>7839</v>
      </c>
      <c r="H462" s="12">
        <v>1</v>
      </c>
      <c r="I462" s="13" t="str">
        <f>HYPERLINK("http://www.ncbi.nlm.nih.gov/gene/79190", "79190")</f>
        <v>79190</v>
      </c>
      <c r="J462" s="13" t="str">
        <f>HYPERLINK("http://www.ncbi.nlm.nih.gov/nuccore/NM_024335", "NM_024335")</f>
        <v>NM_024335</v>
      </c>
      <c r="K462" s="12" t="s">
        <v>7840</v>
      </c>
      <c r="L462" s="13" t="str">
        <f>HYPERLINK("http://asia.ensembl.org/Homo_sapiens/Gene/Summary?g=ENSG00000159387", "ENSG00000159387")</f>
        <v>ENSG00000159387</v>
      </c>
      <c r="M462" s="12" t="s">
        <v>18651</v>
      </c>
      <c r="N462" s="12" t="s">
        <v>7841</v>
      </c>
    </row>
    <row r="463" spans="1:14">
      <c r="A463" s="12" t="s">
        <v>386</v>
      </c>
      <c r="B463" s="8">
        <v>6403.2142679686604</v>
      </c>
      <c r="C463" s="12">
        <v>17438.082027694501</v>
      </c>
      <c r="D463" s="8">
        <v>-1.4453731781564101</v>
      </c>
      <c r="E463" s="12">
        <v>7.6678994755828003E-3</v>
      </c>
      <c r="F463" s="8" t="s">
        <v>387</v>
      </c>
      <c r="G463" s="12" t="s">
        <v>16318</v>
      </c>
      <c r="H463" s="12">
        <v>1</v>
      </c>
      <c r="I463" s="13" t="str">
        <f>HYPERLINK("http://www.ncbi.nlm.nih.gov/gene/3006", "3006")</f>
        <v>3006</v>
      </c>
      <c r="J463" s="13" t="str">
        <f>HYPERLINK("http://www.ncbi.nlm.nih.gov/nuccore/NM_005319", "NM_005319")</f>
        <v>NM_005319</v>
      </c>
      <c r="K463" s="12" t="s">
        <v>388</v>
      </c>
      <c r="L463" s="13" t="str">
        <f>HYPERLINK("http://asia.ensembl.org/Homo_sapiens/Gene/Summary?g=ENSG00000187837", "ENSG00000187837")</f>
        <v>ENSG00000187837</v>
      </c>
      <c r="M463" s="12" t="s">
        <v>389</v>
      </c>
      <c r="N463" s="12" t="s">
        <v>390</v>
      </c>
    </row>
    <row r="464" spans="1:14">
      <c r="A464" s="12" t="s">
        <v>10268</v>
      </c>
      <c r="B464" s="8">
        <v>1343.75018196106</v>
      </c>
      <c r="C464" s="12">
        <v>3659.1231563869401</v>
      </c>
      <c r="D464" s="8">
        <v>-1.44523302372381</v>
      </c>
      <c r="E464" s="12">
        <v>2.5144305519757201E-3</v>
      </c>
      <c r="F464" s="8" t="s">
        <v>10269</v>
      </c>
      <c r="G464" s="12" t="s">
        <v>10270</v>
      </c>
      <c r="H464" s="12">
        <v>1</v>
      </c>
      <c r="I464" s="13" t="str">
        <f>HYPERLINK("http://www.ncbi.nlm.nih.gov/gene/4831", "4831")</f>
        <v>4831</v>
      </c>
      <c r="J464" s="13" t="str">
        <f>HYPERLINK("http://www.ncbi.nlm.nih.gov/nuccore/NM_001018137", "NM_001018137")</f>
        <v>NM_001018137</v>
      </c>
      <c r="K464" s="12" t="s">
        <v>10271</v>
      </c>
      <c r="L464" s="13" t="str">
        <f>HYPERLINK("http://asia.ensembl.org/Homo_sapiens/Gene/Summary?g=ENSG00000243678", "ENSG00000243678")</f>
        <v>ENSG00000243678</v>
      </c>
      <c r="M464" s="12" t="s">
        <v>19641</v>
      </c>
      <c r="N464" s="12" t="s">
        <v>19642</v>
      </c>
    </row>
    <row r="465" spans="1:14">
      <c r="A465" s="12" t="s">
        <v>8408</v>
      </c>
      <c r="B465" s="8">
        <v>21518.893465614499</v>
      </c>
      <c r="C465" s="12">
        <v>58592.746252630503</v>
      </c>
      <c r="D465" s="8">
        <v>-1.4451181766902499</v>
      </c>
      <c r="E465" s="12">
        <v>2.41574143895102E-3</v>
      </c>
      <c r="F465" s="8" t="s">
        <v>1829</v>
      </c>
      <c r="G465" s="12" t="s">
        <v>286</v>
      </c>
      <c r="H465" s="12">
        <v>1</v>
      </c>
      <c r="I465" s="13" t="str">
        <f>HYPERLINK("http://www.ncbi.nlm.nih.gov/gene/4728", "4728")</f>
        <v>4728</v>
      </c>
      <c r="J465" s="13" t="str">
        <f>HYPERLINK("http://www.ncbi.nlm.nih.gov/nuccore/NM_002496", "NM_002496")</f>
        <v>NM_002496</v>
      </c>
      <c r="K465" s="12" t="s">
        <v>1830</v>
      </c>
      <c r="L465" s="13" t="str">
        <f>HYPERLINK("http://asia.ensembl.org/Homo_sapiens/Gene/Summary?g=ENSG00000110717", "ENSG00000110717")</f>
        <v>ENSG00000110717</v>
      </c>
      <c r="M465" s="12" t="s">
        <v>16803</v>
      </c>
      <c r="N465" s="12" t="s">
        <v>16804</v>
      </c>
    </row>
    <row r="466" spans="1:14">
      <c r="A466" s="12" t="s">
        <v>11466</v>
      </c>
      <c r="B466" s="8">
        <v>861.96636175203105</v>
      </c>
      <c r="C466" s="12">
        <v>2345.9150974242498</v>
      </c>
      <c r="D466" s="8">
        <v>-1.44444732644046</v>
      </c>
      <c r="E466" s="12">
        <v>2.7505209402000001E-3</v>
      </c>
      <c r="F466" s="8" t="s">
        <v>10029</v>
      </c>
      <c r="G466" s="12" t="s">
        <v>10030</v>
      </c>
      <c r="H466" s="12">
        <v>4</v>
      </c>
      <c r="I466" s="12" t="s">
        <v>10031</v>
      </c>
      <c r="J466" s="12" t="s">
        <v>19511</v>
      </c>
      <c r="K466" s="12" t="s">
        <v>19512</v>
      </c>
      <c r="L466" s="12" t="s">
        <v>10032</v>
      </c>
      <c r="M466" s="12" t="s">
        <v>19513</v>
      </c>
      <c r="N466" s="12" t="s">
        <v>19514</v>
      </c>
    </row>
    <row r="467" spans="1:14">
      <c r="A467" s="12" t="s">
        <v>1769</v>
      </c>
      <c r="B467" s="8">
        <v>7352.4956739182899</v>
      </c>
      <c r="C467" s="12">
        <v>19976.154950981301</v>
      </c>
      <c r="D467" s="8">
        <v>-1.4419729817465801</v>
      </c>
      <c r="E467" s="12">
        <v>1.4076791299955E-3</v>
      </c>
      <c r="F467" s="8" t="s">
        <v>1770</v>
      </c>
      <c r="G467" s="12" t="s">
        <v>1771</v>
      </c>
      <c r="H467" s="12">
        <v>1</v>
      </c>
      <c r="I467" s="13" t="str">
        <f>HYPERLINK("http://www.ncbi.nlm.nih.gov/gene/51450", "51450")</f>
        <v>51450</v>
      </c>
      <c r="J467" s="13" t="str">
        <f>HYPERLINK("http://www.ncbi.nlm.nih.gov/nuccore/NM_016307", "NM_016307")</f>
        <v>NM_016307</v>
      </c>
      <c r="K467" s="12" t="s">
        <v>1772</v>
      </c>
      <c r="L467" s="13" t="str">
        <f>HYPERLINK("http://asia.ensembl.org/Homo_sapiens/Gene/Summary?g=ENSG00000167157", "ENSG00000167157")</f>
        <v>ENSG00000167157</v>
      </c>
      <c r="M467" s="12" t="s">
        <v>1773</v>
      </c>
      <c r="N467" s="12" t="s">
        <v>1774</v>
      </c>
    </row>
    <row r="468" spans="1:14">
      <c r="A468" s="12" t="s">
        <v>5347</v>
      </c>
      <c r="B468" s="8">
        <v>40461.8372481162</v>
      </c>
      <c r="C468" s="12">
        <v>109777.710385849</v>
      </c>
      <c r="D468" s="8">
        <v>-1.43995141984568</v>
      </c>
      <c r="E468" s="12">
        <v>6.76085215634373E-3</v>
      </c>
      <c r="F468" s="8" t="s">
        <v>5348</v>
      </c>
      <c r="G468" s="12" t="s">
        <v>17859</v>
      </c>
      <c r="H468" s="12">
        <v>1</v>
      </c>
      <c r="I468" s="13" t="str">
        <f>HYPERLINK("http://www.ncbi.nlm.nih.gov/gene/9978", "9978")</f>
        <v>9978</v>
      </c>
      <c r="J468" s="13" t="str">
        <f>HYPERLINK("http://www.ncbi.nlm.nih.gov/nuccore/NM_014248", "NM_014248")</f>
        <v>NM_014248</v>
      </c>
      <c r="K468" s="12" t="s">
        <v>5349</v>
      </c>
      <c r="L468" s="13" t="str">
        <f>HYPERLINK("http://asia.ensembl.org/Homo_sapiens/Gene/Summary?g=ENSG00000100387", "ENSG00000100387")</f>
        <v>ENSG00000100387</v>
      </c>
      <c r="M468" s="12" t="s">
        <v>17860</v>
      </c>
      <c r="N468" s="12" t="s">
        <v>5350</v>
      </c>
    </row>
    <row r="469" spans="1:14">
      <c r="A469" s="12" t="s">
        <v>7397</v>
      </c>
      <c r="B469" s="8">
        <v>8497.7472570321006</v>
      </c>
      <c r="C469" s="12">
        <v>23050.001716262701</v>
      </c>
      <c r="D469" s="8">
        <v>-1.4396145178131901</v>
      </c>
      <c r="E469" s="12">
        <v>3.07869214614679E-3</v>
      </c>
      <c r="F469" s="8" t="s">
        <v>604</v>
      </c>
      <c r="G469" s="12" t="s">
        <v>605</v>
      </c>
      <c r="H469" s="12">
        <v>4</v>
      </c>
      <c r="I469" s="12" t="s">
        <v>606</v>
      </c>
      <c r="J469" s="12" t="s">
        <v>16391</v>
      </c>
      <c r="K469" s="12" t="s">
        <v>16392</v>
      </c>
      <c r="L469" s="13" t="str">
        <f>HYPERLINK("http://asia.ensembl.org/Homo_sapiens/Gene/Summary?g=ENSG00000213977", "ENSG00000213977")</f>
        <v>ENSG00000213977</v>
      </c>
      <c r="M469" s="12" t="s">
        <v>16393</v>
      </c>
      <c r="N469" s="12" t="s">
        <v>16394</v>
      </c>
    </row>
    <row r="470" spans="1:14">
      <c r="A470" s="12" t="s">
        <v>4470</v>
      </c>
      <c r="B470" s="8">
        <v>271.47667272490798</v>
      </c>
      <c r="C470" s="12">
        <v>736.31783205617103</v>
      </c>
      <c r="D470" s="8">
        <v>-1.43950040457521</v>
      </c>
      <c r="E470" s="12">
        <v>2.0585463513590999E-3</v>
      </c>
      <c r="F470" s="8" t="s">
        <v>4471</v>
      </c>
      <c r="G470" s="12" t="s">
        <v>17690</v>
      </c>
      <c r="H470" s="12">
        <v>1</v>
      </c>
      <c r="I470" s="13" t="str">
        <f>HYPERLINK("http://www.ncbi.nlm.nih.gov/gene/862", "862")</f>
        <v>862</v>
      </c>
      <c r="J470" s="12" t="s">
        <v>17691</v>
      </c>
      <c r="K470" s="12" t="s">
        <v>17692</v>
      </c>
      <c r="L470" s="13" t="str">
        <f>HYPERLINK("http://asia.ensembl.org/Homo_sapiens/Gene/Summary?g=ENSG00000079102", "ENSG00000079102")</f>
        <v>ENSG00000079102</v>
      </c>
      <c r="M470" s="12" t="s">
        <v>17693</v>
      </c>
      <c r="N470" s="12" t="s">
        <v>17694</v>
      </c>
    </row>
    <row r="471" spans="1:14">
      <c r="A471" s="12" t="s">
        <v>10138</v>
      </c>
      <c r="B471" s="8">
        <v>2326.03153435897</v>
      </c>
      <c r="C471" s="12">
        <v>6307.3780383745798</v>
      </c>
      <c r="D471" s="8">
        <v>-1.4391697492479401</v>
      </c>
      <c r="E471" s="12">
        <v>5.3370427096863801E-3</v>
      </c>
      <c r="F471" s="8" t="s">
        <v>10139</v>
      </c>
      <c r="G471" s="12" t="s">
        <v>10140</v>
      </c>
      <c r="H471" s="12">
        <v>1</v>
      </c>
      <c r="I471" s="13" t="str">
        <f>HYPERLINK("http://www.ncbi.nlm.nih.gov/gene/400410", "400410")</f>
        <v>400410</v>
      </c>
      <c r="J471" s="13" t="str">
        <f>HYPERLINK("http://www.ncbi.nlm.nih.gov/nuccore/NM_001100879", "NM_001100879")</f>
        <v>NM_001100879</v>
      </c>
      <c r="K471" s="12" t="s">
        <v>10141</v>
      </c>
      <c r="L471" s="13" t="str">
        <f>HYPERLINK("http://asia.ensembl.org/Homo_sapiens/Gene/Summary?g=ENSG00000180953", "ENSG00000180953")</f>
        <v>ENSG00000180953</v>
      </c>
      <c r="M471" s="12" t="s">
        <v>19555</v>
      </c>
      <c r="N471" s="12" t="s">
        <v>19556</v>
      </c>
    </row>
    <row r="472" spans="1:14">
      <c r="A472" s="12" t="s">
        <v>855</v>
      </c>
      <c r="B472" s="8">
        <v>2559.0119046569098</v>
      </c>
      <c r="C472" s="12">
        <v>6938.8403057123296</v>
      </c>
      <c r="D472" s="8">
        <v>-1.4391077052144901</v>
      </c>
      <c r="E472" s="12">
        <v>1.7246117527007999E-3</v>
      </c>
      <c r="F472" s="8" t="s">
        <v>856</v>
      </c>
      <c r="G472" s="12" t="s">
        <v>857</v>
      </c>
      <c r="H472" s="12">
        <v>1</v>
      </c>
      <c r="I472" s="13" t="str">
        <f>HYPERLINK("http://www.ncbi.nlm.nih.gov/gene/60370", "60370")</f>
        <v>60370</v>
      </c>
      <c r="J472" s="13" t="str">
        <f>HYPERLINK("http://www.ncbi.nlm.nih.gov/nuccore/NM_021732", "NM_021732")</f>
        <v>NM_021732</v>
      </c>
      <c r="K472" s="12" t="s">
        <v>858</v>
      </c>
      <c r="L472" s="13" t="str">
        <f>HYPERLINK("http://asia.ensembl.org/Homo_sapiens/Gene/Summary?g=ENSG00000119986", "ENSG00000119986")</f>
        <v>ENSG00000119986</v>
      </c>
      <c r="M472" s="12" t="s">
        <v>859</v>
      </c>
      <c r="N472" s="12" t="s">
        <v>860</v>
      </c>
    </row>
    <row r="473" spans="1:14">
      <c r="A473" s="12" t="s">
        <v>11764</v>
      </c>
      <c r="B473" s="8">
        <v>495.09742367525803</v>
      </c>
      <c r="C473" s="12">
        <v>1342.43555535729</v>
      </c>
      <c r="D473" s="8">
        <v>-1.4390684850772</v>
      </c>
      <c r="E473" s="12">
        <v>7.8421808102223703E-4</v>
      </c>
      <c r="F473" s="8" t="s">
        <v>11765</v>
      </c>
      <c r="G473" s="12" t="s">
        <v>1517</v>
      </c>
      <c r="H473" s="12">
        <v>1</v>
      </c>
      <c r="I473" s="13" t="str">
        <f>HYPERLINK("http://www.ncbi.nlm.nih.gov/gene/9149", "9149")</f>
        <v>9149</v>
      </c>
      <c r="J473" s="12" t="s">
        <v>20188</v>
      </c>
      <c r="K473" s="12" t="s">
        <v>20189</v>
      </c>
      <c r="L473" s="13" t="str">
        <f>HYPERLINK("http://asia.ensembl.org/Homo_sapiens/Gene/Summary?g=ENSG00000281320", "ENSG00000281320")</f>
        <v>ENSG00000281320</v>
      </c>
      <c r="M473" s="12" t="s">
        <v>20190</v>
      </c>
      <c r="N473" s="12" t="s">
        <v>20191</v>
      </c>
    </row>
    <row r="474" spans="1:14">
      <c r="A474" s="12" t="s">
        <v>9171</v>
      </c>
      <c r="B474" s="8">
        <v>1027.72246696499</v>
      </c>
      <c r="C474" s="12">
        <v>2785.3426015157802</v>
      </c>
      <c r="D474" s="8">
        <v>-1.4384040701083201</v>
      </c>
      <c r="E474" s="12">
        <v>2.1631726861324999E-3</v>
      </c>
      <c r="F474" s="8" t="s">
        <v>9172</v>
      </c>
      <c r="G474" s="12" t="s">
        <v>19084</v>
      </c>
      <c r="H474" s="12">
        <v>1</v>
      </c>
      <c r="I474" s="13" t="str">
        <f>HYPERLINK("http://www.ncbi.nlm.nih.gov/gene/26030", "26030")</f>
        <v>26030</v>
      </c>
      <c r="J474" s="12" t="s">
        <v>19085</v>
      </c>
      <c r="K474" s="12" t="s">
        <v>19086</v>
      </c>
      <c r="L474" s="13" t="str">
        <f>HYPERLINK("http://asia.ensembl.org/Homo_sapiens/Gene/Summary?g=ENSG00000126822", "ENSG00000126822")</f>
        <v>ENSG00000126822</v>
      </c>
      <c r="M474" s="12" t="s">
        <v>19087</v>
      </c>
      <c r="N474" s="12" t="s">
        <v>19088</v>
      </c>
    </row>
    <row r="475" spans="1:14">
      <c r="A475" s="12" t="s">
        <v>4357</v>
      </c>
      <c r="B475" s="8">
        <v>3126.5807339390599</v>
      </c>
      <c r="C475" s="12">
        <v>8466.5540623774905</v>
      </c>
      <c r="D475" s="8">
        <v>-1.4371891328858299</v>
      </c>
      <c r="E475" s="12">
        <v>5.5021759656312397E-4</v>
      </c>
      <c r="F475" s="8" t="s">
        <v>4358</v>
      </c>
      <c r="G475" s="12" t="s">
        <v>4359</v>
      </c>
      <c r="H475" s="12">
        <v>1</v>
      </c>
      <c r="I475" s="13" t="str">
        <f>HYPERLINK("http://www.ncbi.nlm.nih.gov/gene/112752", "112752")</f>
        <v>112752</v>
      </c>
      <c r="J475" s="12" t="s">
        <v>17668</v>
      </c>
      <c r="K475" s="12" t="s">
        <v>17669</v>
      </c>
      <c r="L475" s="13" t="str">
        <f>HYPERLINK("http://asia.ensembl.org/Homo_sapiens/Gene/Summary?g=ENSG00000119650", "ENSG00000119650")</f>
        <v>ENSG00000119650</v>
      </c>
      <c r="M475" s="12" t="s">
        <v>17670</v>
      </c>
      <c r="N475" s="12" t="s">
        <v>17671</v>
      </c>
    </row>
    <row r="476" spans="1:14">
      <c r="A476" s="12" t="s">
        <v>7645</v>
      </c>
      <c r="B476" s="8">
        <v>50</v>
      </c>
      <c r="C476" s="12">
        <v>135.320723388966</v>
      </c>
      <c r="D476" s="8">
        <v>-1.4363827945330701</v>
      </c>
      <c r="E476" s="12">
        <v>4.7592966799498299E-4</v>
      </c>
      <c r="F476" s="8" t="s">
        <v>2805</v>
      </c>
      <c r="G476" s="12" t="s">
        <v>2806</v>
      </c>
      <c r="H476" s="12">
        <v>1</v>
      </c>
      <c r="I476" s="13" t="str">
        <f>HYPERLINK("http://www.ncbi.nlm.nih.gov/gene/2637", "2637")</f>
        <v>2637</v>
      </c>
      <c r="J476" s="13" t="str">
        <f>HYPERLINK("http://www.ncbi.nlm.nih.gov/nuccore/NM_001485", "NM_001485")</f>
        <v>NM_001485</v>
      </c>
      <c r="K476" s="12" t="s">
        <v>2807</v>
      </c>
      <c r="L476" s="13" t="str">
        <f>HYPERLINK("http://asia.ensembl.org/Homo_sapiens/Gene/Summary?g=ENSG00000168505", "ENSG00000168505")</f>
        <v>ENSG00000168505</v>
      </c>
      <c r="M476" s="12" t="s">
        <v>18603</v>
      </c>
      <c r="N476" s="12" t="s">
        <v>18604</v>
      </c>
    </row>
    <row r="477" spans="1:14">
      <c r="A477" s="12" t="s">
        <v>9480</v>
      </c>
      <c r="B477" s="8">
        <v>62.209503028572399</v>
      </c>
      <c r="C477" s="12">
        <v>168.334044287007</v>
      </c>
      <c r="D477" s="8">
        <v>-1.4361200941426699</v>
      </c>
      <c r="E477" s="12">
        <v>1.2443235334647701E-2</v>
      </c>
      <c r="F477" s="8" t="s">
        <v>9481</v>
      </c>
      <c r="G477" s="12" t="s">
        <v>9482</v>
      </c>
      <c r="H477" s="12">
        <v>1</v>
      </c>
      <c r="I477" s="13" t="str">
        <f>HYPERLINK("http://www.ncbi.nlm.nih.gov/gene/92749", "92749")</f>
        <v>92749</v>
      </c>
      <c r="J477" s="13" t="str">
        <f>HYPERLINK("http://www.ncbi.nlm.nih.gov/nuccore/NM_145038", "NM_145038")</f>
        <v>NM_145038</v>
      </c>
      <c r="K477" s="12" t="s">
        <v>9483</v>
      </c>
      <c r="L477" s="13" t="str">
        <f>HYPERLINK("http://asia.ensembl.org/Homo_sapiens/Gene/Summary?g=ENSG00000157856", "ENSG00000157856")</f>
        <v>ENSG00000157856</v>
      </c>
      <c r="M477" s="12" t="s">
        <v>19167</v>
      </c>
      <c r="N477" s="12" t="s">
        <v>19168</v>
      </c>
    </row>
    <row r="478" spans="1:14">
      <c r="A478" s="12" t="s">
        <v>492</v>
      </c>
      <c r="B478" s="8">
        <v>112.218887763672</v>
      </c>
      <c r="C478" s="12">
        <v>303.62438472685301</v>
      </c>
      <c r="D478" s="8">
        <v>-1.4359721423537</v>
      </c>
      <c r="E478" s="12">
        <v>1.9769845274560601E-4</v>
      </c>
      <c r="F478" s="8" t="s">
        <v>493</v>
      </c>
      <c r="G478" s="12" t="s">
        <v>15570</v>
      </c>
      <c r="H478" s="12">
        <v>1</v>
      </c>
      <c r="I478" s="13" t="str">
        <f>HYPERLINK("http://www.ncbi.nlm.nih.gov/gene/5699", "5699")</f>
        <v>5699</v>
      </c>
      <c r="J478" s="13" t="str">
        <f>HYPERLINK("http://www.ncbi.nlm.nih.gov/nuccore/NM_002801", "NM_002801")</f>
        <v>NM_002801</v>
      </c>
      <c r="K478" s="12" t="s">
        <v>494</v>
      </c>
      <c r="L478" s="13" t="str">
        <f>HYPERLINK("http://asia.ensembl.org/Homo_sapiens/Gene/Summary?g=ENSG00000205220", "ENSG00000205220")</f>
        <v>ENSG00000205220</v>
      </c>
      <c r="M478" s="12" t="s">
        <v>16349</v>
      </c>
      <c r="N478" s="12" t="s">
        <v>16350</v>
      </c>
    </row>
    <row r="479" spans="1:14">
      <c r="A479" s="12" t="s">
        <v>3398</v>
      </c>
      <c r="B479" s="8">
        <v>18492.8378896168</v>
      </c>
      <c r="C479" s="12">
        <v>50034.880941327901</v>
      </c>
      <c r="D479" s="8">
        <v>-1.43596755916069</v>
      </c>
      <c r="E479" s="12">
        <v>5.3722001270177999E-4</v>
      </c>
      <c r="F479" s="8" t="s">
        <v>3399</v>
      </c>
      <c r="G479" s="12" t="s">
        <v>17293</v>
      </c>
      <c r="H479" s="12">
        <v>1</v>
      </c>
      <c r="I479" s="13" t="str">
        <f>HYPERLINK("http://www.ncbi.nlm.nih.gov/gene/29796", "29796")</f>
        <v>29796</v>
      </c>
      <c r="J479" s="12" t="s">
        <v>17294</v>
      </c>
      <c r="K479" s="12" t="s">
        <v>17295</v>
      </c>
      <c r="L479" s="13" t="str">
        <f>HYPERLINK("http://asia.ensembl.org/Homo_sapiens/Gene/Summary?g=ENSG00000184076", "ENSG00000184076")</f>
        <v>ENSG00000184076</v>
      </c>
      <c r="M479" s="12" t="s">
        <v>17296</v>
      </c>
      <c r="N479" s="12" t="s">
        <v>17297</v>
      </c>
    </row>
    <row r="480" spans="1:14">
      <c r="A480" s="12" t="s">
        <v>8477</v>
      </c>
      <c r="B480" s="8">
        <v>24035.922882573701</v>
      </c>
      <c r="C480" s="12">
        <v>65018.631301654103</v>
      </c>
      <c r="D480" s="8">
        <v>-1.4356609881564599</v>
      </c>
      <c r="E480" s="12">
        <v>5.0663040985603897E-3</v>
      </c>
      <c r="F480" s="8" t="s">
        <v>3275</v>
      </c>
      <c r="G480" s="12" t="s">
        <v>286</v>
      </c>
      <c r="H480" s="12">
        <v>1</v>
      </c>
      <c r="I480" s="13" t="str">
        <f>HYPERLINK("http://www.ncbi.nlm.nih.gov/gene/4700", "4700")</f>
        <v>4700</v>
      </c>
      <c r="J480" s="13" t="str">
        <f>HYPERLINK("http://www.ncbi.nlm.nih.gov/nuccore/NM_002490", "NM_002490")</f>
        <v>NM_002490</v>
      </c>
      <c r="K480" s="12" t="s">
        <v>3276</v>
      </c>
      <c r="L480" s="13" t="str">
        <f>HYPERLINK("http://asia.ensembl.org/Homo_sapiens/Gene/Summary?g=ENSG00000281013", "ENSG00000281013")</f>
        <v>ENSG00000281013</v>
      </c>
      <c r="M480" s="12" t="s">
        <v>17271</v>
      </c>
      <c r="N480" s="12" t="s">
        <v>17272</v>
      </c>
    </row>
    <row r="481" spans="1:14">
      <c r="A481" s="12" t="s">
        <v>1092</v>
      </c>
      <c r="B481" s="8">
        <v>3890.6830349972402</v>
      </c>
      <c r="C481" s="12">
        <v>10517.5501919817</v>
      </c>
      <c r="D481" s="8">
        <v>-1.43470334580778</v>
      </c>
      <c r="E481" s="12">
        <v>2.75972534702075E-3</v>
      </c>
      <c r="F481" s="8" t="s">
        <v>1093</v>
      </c>
      <c r="G481" s="12" t="s">
        <v>1094</v>
      </c>
      <c r="H481" s="12">
        <v>1</v>
      </c>
      <c r="I481" s="13" t="str">
        <f>HYPERLINK("http://www.ncbi.nlm.nih.gov/gene/25911", "25911")</f>
        <v>25911</v>
      </c>
      <c r="J481" s="13" t="str">
        <f>HYPERLINK("http://www.ncbi.nlm.nih.gov/nuccore/NM_015448", "NM_015448")</f>
        <v>NM_015448</v>
      </c>
      <c r="K481" s="12" t="s">
        <v>1095</v>
      </c>
      <c r="L481" s="13" t="str">
        <f>HYPERLINK("http://asia.ensembl.org/Homo_sapiens/Gene/Summary?g=ENSG00000166171", "ENSG00000166171")</f>
        <v>ENSG00000166171</v>
      </c>
      <c r="M481" s="12" t="s">
        <v>16514</v>
      </c>
      <c r="N481" s="12" t="s">
        <v>16515</v>
      </c>
    </row>
    <row r="482" spans="1:14">
      <c r="A482" s="12" t="s">
        <v>11534</v>
      </c>
      <c r="B482" s="8">
        <v>12442.5279722823</v>
      </c>
      <c r="C482" s="12">
        <v>33632.229796330197</v>
      </c>
      <c r="D482" s="8">
        <v>-1.43456480146845</v>
      </c>
      <c r="E482" s="12">
        <v>7.21146992609999E-3</v>
      </c>
      <c r="F482" s="8" t="s">
        <v>11535</v>
      </c>
      <c r="G482" s="12" t="s">
        <v>20135</v>
      </c>
      <c r="H482" s="12">
        <v>1</v>
      </c>
      <c r="I482" s="13" t="str">
        <f>HYPERLINK("http://www.ncbi.nlm.nih.gov/gene/7386", "7386")</f>
        <v>7386</v>
      </c>
      <c r="J482" s="13" t="str">
        <f>HYPERLINK("http://www.ncbi.nlm.nih.gov/nuccore/NM_006003", "NM_006003")</f>
        <v>NM_006003</v>
      </c>
      <c r="K482" s="12" t="s">
        <v>11536</v>
      </c>
      <c r="L482" s="13" t="str">
        <f>HYPERLINK("http://asia.ensembl.org/Homo_sapiens/Gene/Summary?g=ENSG00000169021", "ENSG00000169021")</f>
        <v>ENSG00000169021</v>
      </c>
      <c r="M482" s="12" t="s">
        <v>11537</v>
      </c>
      <c r="N482" s="12" t="s">
        <v>11538</v>
      </c>
    </row>
    <row r="483" spans="1:14">
      <c r="A483" s="12" t="s">
        <v>9570</v>
      </c>
      <c r="B483" s="8">
        <v>60868.745416856298</v>
      </c>
      <c r="C483" s="12">
        <v>164467.03026325101</v>
      </c>
      <c r="D483" s="8">
        <v>-1.4340248689339401</v>
      </c>
      <c r="E483" s="12">
        <v>1.0758399642411E-3</v>
      </c>
      <c r="F483" s="8" t="s">
        <v>9571</v>
      </c>
      <c r="G483" s="12" t="s">
        <v>9572</v>
      </c>
      <c r="H483" s="12">
        <v>1</v>
      </c>
      <c r="I483" s="13" t="str">
        <f>HYPERLINK("http://www.ncbi.nlm.nih.gov/gene/6902", "6902")</f>
        <v>6902</v>
      </c>
      <c r="J483" s="13" t="str">
        <f>HYPERLINK("http://www.ncbi.nlm.nih.gov/nuccore/NM_004607", "NM_004607")</f>
        <v>NM_004607</v>
      </c>
      <c r="K483" s="12" t="s">
        <v>9573</v>
      </c>
      <c r="L483" s="13" t="str">
        <f>HYPERLINK("http://asia.ensembl.org/Homo_sapiens/Gene/Summary?g=ENSG00000171530", "ENSG00000171530")</f>
        <v>ENSG00000171530</v>
      </c>
      <c r="M483" s="12" t="s">
        <v>19197</v>
      </c>
      <c r="N483" s="12" t="s">
        <v>19198</v>
      </c>
    </row>
    <row r="484" spans="1:14">
      <c r="A484" s="12" t="s">
        <v>9937</v>
      </c>
      <c r="B484" s="8">
        <v>1852.36013028659</v>
      </c>
      <c r="C484" s="12">
        <v>5004.3443272239401</v>
      </c>
      <c r="D484" s="8">
        <v>-1.43381644820725</v>
      </c>
      <c r="E484" s="12">
        <v>1.9987113810566999E-3</v>
      </c>
      <c r="F484" s="8" t="s">
        <v>2165</v>
      </c>
      <c r="G484" s="12" t="s">
        <v>2166</v>
      </c>
      <c r="H484" s="12">
        <v>1</v>
      </c>
      <c r="I484" s="13" t="str">
        <f>HYPERLINK("http://www.ncbi.nlm.nih.gov/gene/26147", "26147")</f>
        <v>26147</v>
      </c>
      <c r="J484" s="13" t="str">
        <f>HYPERLINK("http://www.ncbi.nlm.nih.gov/nuccore/NM_001009936", "NM_001009936")</f>
        <v>NM_001009936</v>
      </c>
      <c r="K484" s="12" t="s">
        <v>9938</v>
      </c>
      <c r="L484" s="13" t="str">
        <f>HYPERLINK("http://asia.ensembl.org/Homo_sapiens/Gene/Summary?g=ENSG00000119403", "ENSG00000119403")</f>
        <v>ENSG00000119403</v>
      </c>
      <c r="M484" s="12" t="s">
        <v>16951</v>
      </c>
      <c r="N484" s="12" t="s">
        <v>16952</v>
      </c>
    </row>
    <row r="485" spans="1:14">
      <c r="A485" s="12" t="s">
        <v>11139</v>
      </c>
      <c r="B485" s="8">
        <v>66.148507026948494</v>
      </c>
      <c r="C485" s="12">
        <v>178.65283903051801</v>
      </c>
      <c r="D485" s="8">
        <v>-1.4333783401129101</v>
      </c>
      <c r="E485" s="12">
        <v>1.3570595608120401E-2</v>
      </c>
      <c r="F485" s="8" t="s">
        <v>10407</v>
      </c>
      <c r="G485" s="12" t="s">
        <v>10408</v>
      </c>
      <c r="H485" s="12">
        <v>1</v>
      </c>
      <c r="I485" s="13" t="str">
        <f>HYPERLINK("http://www.ncbi.nlm.nih.gov/gene/100131378", "100131378")</f>
        <v>100131378</v>
      </c>
      <c r="J485" s="13" t="str">
        <f>HYPERLINK("http://www.ncbi.nlm.nih.gov/nuccore/NM_001166692", "NM_001166692")</f>
        <v>NM_001166692</v>
      </c>
      <c r="K485" s="12" t="s">
        <v>10409</v>
      </c>
      <c r="L485" s="13" t="str">
        <f>HYPERLINK("http://asia.ensembl.org/Homo_sapiens/Gene/Summary?g=ENSG00000205177", "ENSG00000205177")</f>
        <v>ENSG00000205177</v>
      </c>
      <c r="M485" s="12" t="s">
        <v>19993</v>
      </c>
      <c r="N485" s="12" t="s">
        <v>19994</v>
      </c>
    </row>
    <row r="486" spans="1:14">
      <c r="A486" s="12" t="s">
        <v>11413</v>
      </c>
      <c r="B486" s="8">
        <v>274.05725180431801</v>
      </c>
      <c r="C486" s="12">
        <v>740.06575471145698</v>
      </c>
      <c r="D486" s="8">
        <v>-1.4331761494202599</v>
      </c>
      <c r="E486" s="12">
        <v>4.5129095833733597E-2</v>
      </c>
      <c r="F486" s="8" t="s">
        <v>11414</v>
      </c>
      <c r="G486" s="12" t="s">
        <v>20103</v>
      </c>
      <c r="H486" s="12">
        <v>4</v>
      </c>
      <c r="I486" s="12" t="s">
        <v>11415</v>
      </c>
      <c r="J486" s="12" t="s">
        <v>11416</v>
      </c>
      <c r="K486" s="12" t="s">
        <v>11417</v>
      </c>
      <c r="L486" s="12" t="s">
        <v>11418</v>
      </c>
      <c r="M486" s="12" t="s">
        <v>20104</v>
      </c>
      <c r="N486" s="12" t="s">
        <v>20105</v>
      </c>
    </row>
    <row r="487" spans="1:14">
      <c r="A487" s="12" t="s">
        <v>2102</v>
      </c>
      <c r="B487" s="8">
        <v>3347.7483602833399</v>
      </c>
      <c r="C487" s="12">
        <v>9036.3312133210693</v>
      </c>
      <c r="D487" s="8">
        <v>-1.43254606243326</v>
      </c>
      <c r="E487" s="12">
        <v>1.40668855751448E-3</v>
      </c>
      <c r="F487" s="8" t="s">
        <v>2103</v>
      </c>
      <c r="G487" s="12" t="s">
        <v>16920</v>
      </c>
      <c r="H487" s="12">
        <v>1</v>
      </c>
      <c r="I487" s="13" t="str">
        <f>HYPERLINK("http://www.ncbi.nlm.nih.gov/gene/84266", "84266")</f>
        <v>84266</v>
      </c>
      <c r="J487" s="13" t="str">
        <f>HYPERLINK("http://www.ncbi.nlm.nih.gov/nuccore/NM_032306", "NM_032306")</f>
        <v>NM_032306</v>
      </c>
      <c r="K487" s="12" t="s">
        <v>2104</v>
      </c>
      <c r="L487" s="13" t="str">
        <f>HYPERLINK("http://asia.ensembl.org/Homo_sapiens/Gene/Summary?g=ENSG00000125652", "ENSG00000125652")</f>
        <v>ENSG00000125652</v>
      </c>
      <c r="M487" s="12" t="s">
        <v>16921</v>
      </c>
      <c r="N487" s="12" t="s">
        <v>16922</v>
      </c>
    </row>
    <row r="488" spans="1:14">
      <c r="A488" s="12" t="s">
        <v>8350</v>
      </c>
      <c r="B488" s="8">
        <v>737.37390289068799</v>
      </c>
      <c r="C488" s="12">
        <v>1988.75097824928</v>
      </c>
      <c r="D488" s="8">
        <v>-1.43139437756609</v>
      </c>
      <c r="E488" s="12">
        <v>4.1784747422140998E-3</v>
      </c>
      <c r="F488" s="8" t="s">
        <v>8351</v>
      </c>
      <c r="G488" s="12" t="s">
        <v>8352</v>
      </c>
      <c r="H488" s="12">
        <v>1</v>
      </c>
      <c r="I488" s="13" t="str">
        <f>HYPERLINK("http://www.ncbi.nlm.nih.gov/gene/79140", "79140")</f>
        <v>79140</v>
      </c>
      <c r="J488" s="13" t="str">
        <f>HYPERLINK("http://www.ncbi.nlm.nih.gov/nuccore/NM_024296", "NM_024296")</f>
        <v>NM_024296</v>
      </c>
      <c r="K488" s="12" t="s">
        <v>8353</v>
      </c>
      <c r="L488" s="13" t="str">
        <f>HYPERLINK("http://asia.ensembl.org/Homo_sapiens/Gene/Summary?g=ENSG00000160050", "ENSG00000160050")</f>
        <v>ENSG00000160050</v>
      </c>
      <c r="M488" s="12" t="s">
        <v>18802</v>
      </c>
      <c r="N488" s="12" t="s">
        <v>18803</v>
      </c>
    </row>
    <row r="489" spans="1:14">
      <c r="A489" s="12" t="s">
        <v>1071</v>
      </c>
      <c r="B489" s="8">
        <v>16019.755004279499</v>
      </c>
      <c r="C489" s="12">
        <v>43186.086910572601</v>
      </c>
      <c r="D489" s="8">
        <v>-1.43071451565792</v>
      </c>
      <c r="E489" s="12">
        <v>1.13339364352402E-3</v>
      </c>
      <c r="F489" s="8" t="s">
        <v>1072</v>
      </c>
      <c r="G489" s="12" t="s">
        <v>1073</v>
      </c>
      <c r="H489" s="12">
        <v>1</v>
      </c>
      <c r="I489" s="13" t="str">
        <f>HYPERLINK("http://www.ncbi.nlm.nih.gov/gene/64979", "64979")</f>
        <v>64979</v>
      </c>
      <c r="J489" s="13" t="str">
        <f>HYPERLINK("http://www.ncbi.nlm.nih.gov/nuccore/NM_032479", "NM_032479")</f>
        <v>NM_032479</v>
      </c>
      <c r="K489" s="12" t="s">
        <v>1074</v>
      </c>
      <c r="L489" s="13" t="str">
        <f>HYPERLINK("http://asia.ensembl.org/Homo_sapiens/Gene/Summary?g=ENSG00000171421", "ENSG00000171421")</f>
        <v>ENSG00000171421</v>
      </c>
      <c r="M489" s="12" t="s">
        <v>16500</v>
      </c>
      <c r="N489" s="12" t="s">
        <v>16501</v>
      </c>
    </row>
    <row r="490" spans="1:14">
      <c r="A490" s="12" t="s">
        <v>2112</v>
      </c>
      <c r="B490" s="8">
        <v>25463.8698288261</v>
      </c>
      <c r="C490" s="12">
        <v>68637.529334355597</v>
      </c>
      <c r="D490" s="8">
        <v>-1.4305459356941299</v>
      </c>
      <c r="E490" s="12">
        <v>4.1456655166404203E-3</v>
      </c>
      <c r="F490" s="8" t="s">
        <v>2113</v>
      </c>
      <c r="G490" s="12" t="s">
        <v>16929</v>
      </c>
      <c r="H490" s="12">
        <v>1</v>
      </c>
      <c r="I490" s="13" t="str">
        <f>HYPERLINK("http://www.ncbi.nlm.nih.gov/gene/10572", "10572")</f>
        <v>10572</v>
      </c>
      <c r="J490" s="12" t="s">
        <v>16930</v>
      </c>
      <c r="K490" s="12" t="s">
        <v>16931</v>
      </c>
      <c r="L490" s="13" t="str">
        <f>HYPERLINK("http://asia.ensembl.org/Homo_sapiens/Gene/Summary?g=ENSG00000184990", "ENSG00000184990")</f>
        <v>ENSG00000184990</v>
      </c>
      <c r="M490" s="12" t="s">
        <v>16932</v>
      </c>
      <c r="N490" s="12" t="s">
        <v>16933</v>
      </c>
    </row>
    <row r="491" spans="1:14">
      <c r="A491" s="12" t="s">
        <v>3914</v>
      </c>
      <c r="B491" s="8">
        <v>5433.8645577983098</v>
      </c>
      <c r="C491" s="12">
        <v>14629.901800444601</v>
      </c>
      <c r="D491" s="8">
        <v>-1.428869574663</v>
      </c>
      <c r="E491" s="12">
        <v>7.3577514576605198E-3</v>
      </c>
      <c r="F491" s="8" t="s">
        <v>38</v>
      </c>
      <c r="G491" s="12" t="s">
        <v>38</v>
      </c>
      <c r="H491" s="12">
        <v>1</v>
      </c>
      <c r="I491" s="12" t="s">
        <v>38</v>
      </c>
      <c r="J491" s="12" t="s">
        <v>38</v>
      </c>
      <c r="K491" s="12" t="s">
        <v>38</v>
      </c>
      <c r="L491" s="13" t="str">
        <f>HYPERLINK("http://asia.ensembl.org/Homo_sapiens/Gene/Summary?g=ENSG00000197345", "ENSG00000197345")</f>
        <v>ENSG00000197345</v>
      </c>
      <c r="M491" s="12" t="s">
        <v>3915</v>
      </c>
      <c r="N491" s="12" t="s">
        <v>17476</v>
      </c>
    </row>
    <row r="492" spans="1:14">
      <c r="A492" s="12" t="s">
        <v>2024</v>
      </c>
      <c r="B492" s="8">
        <v>18493.5168658152</v>
      </c>
      <c r="C492" s="12">
        <v>49773.389376667299</v>
      </c>
      <c r="D492" s="8">
        <v>-1.4283550278147801</v>
      </c>
      <c r="E492" s="12">
        <v>1.7430023508363799E-3</v>
      </c>
      <c r="F492" s="8" t="s">
        <v>2025</v>
      </c>
      <c r="G492" s="12" t="s">
        <v>2026</v>
      </c>
      <c r="H492" s="12">
        <v>1</v>
      </c>
      <c r="I492" s="13" t="str">
        <f>HYPERLINK("http://www.ncbi.nlm.nih.gov/gene/51596", "51596")</f>
        <v>51596</v>
      </c>
      <c r="J492" s="12" t="s">
        <v>16885</v>
      </c>
      <c r="K492" s="12" t="s">
        <v>16886</v>
      </c>
      <c r="L492" s="13" t="str">
        <f>HYPERLINK("http://asia.ensembl.org/Homo_sapiens/Gene/Summary?g=ENSG00000112514", "ENSG00000112514")</f>
        <v>ENSG00000112514</v>
      </c>
      <c r="M492" s="12" t="s">
        <v>16887</v>
      </c>
      <c r="N492" s="12" t="s">
        <v>16888</v>
      </c>
    </row>
    <row r="493" spans="1:14">
      <c r="A493" s="12" t="s">
        <v>5738</v>
      </c>
      <c r="B493" s="8">
        <v>1172.31647443936</v>
      </c>
      <c r="C493" s="12">
        <v>3153.5124506857401</v>
      </c>
      <c r="D493" s="8">
        <v>-1.4275975420365701</v>
      </c>
      <c r="E493" s="12">
        <v>3.9924698246468797E-3</v>
      </c>
      <c r="F493" s="8" t="s">
        <v>5739</v>
      </c>
      <c r="G493" s="12" t="s">
        <v>5740</v>
      </c>
      <c r="H493" s="12">
        <v>1</v>
      </c>
      <c r="I493" s="13" t="str">
        <f>HYPERLINK("http://www.ncbi.nlm.nih.gov/gene/25864", "25864")</f>
        <v>25864</v>
      </c>
      <c r="J493" s="13" t="str">
        <f>HYPERLINK("http://www.ncbi.nlm.nih.gov/nuccore/NM_015407", "NM_015407")</f>
        <v>NM_015407</v>
      </c>
      <c r="K493" s="12" t="s">
        <v>5741</v>
      </c>
      <c r="L493" s="13" t="str">
        <f>HYPERLINK("http://asia.ensembl.org/Homo_sapiens/Gene/Summary?g=ENSG00000248487", "ENSG00000248487")</f>
        <v>ENSG00000248487</v>
      </c>
      <c r="M493" s="12" t="s">
        <v>17959</v>
      </c>
      <c r="N493" s="12" t="s">
        <v>17960</v>
      </c>
    </row>
    <row r="494" spans="1:14">
      <c r="A494" s="12" t="s">
        <v>11283</v>
      </c>
      <c r="B494" s="8">
        <v>130.21587202093301</v>
      </c>
      <c r="C494" s="12">
        <v>350.14454410108402</v>
      </c>
      <c r="D494" s="8">
        <v>-1.42704529838659</v>
      </c>
      <c r="E494" s="12">
        <v>3.2985857982336601E-2</v>
      </c>
      <c r="F494" s="8" t="s">
        <v>38</v>
      </c>
      <c r="G494" s="12" t="s">
        <v>38</v>
      </c>
      <c r="H494" s="12">
        <v>1</v>
      </c>
      <c r="I494" s="12" t="s">
        <v>38</v>
      </c>
      <c r="J494" s="12" t="s">
        <v>38</v>
      </c>
      <c r="K494" s="12" t="s">
        <v>38</v>
      </c>
      <c r="L494" s="13" t="str">
        <f>HYPERLINK("http://asia.ensembl.org/Homo_sapiens/Gene/Summary?g=ENSG00000115221", "ENSG00000115221")</f>
        <v>ENSG00000115221</v>
      </c>
      <c r="M494" s="12" t="s">
        <v>11284</v>
      </c>
      <c r="N494" s="12" t="s">
        <v>1310</v>
      </c>
    </row>
    <row r="495" spans="1:14">
      <c r="A495" s="12" t="s">
        <v>3741</v>
      </c>
      <c r="B495" s="8">
        <v>3137.6285044853598</v>
      </c>
      <c r="C495" s="12">
        <v>8433.4249873133595</v>
      </c>
      <c r="D495" s="8">
        <v>-1.42644411111128</v>
      </c>
      <c r="E495" s="12">
        <v>1.4849916975231399E-3</v>
      </c>
      <c r="F495" s="8" t="s">
        <v>3742</v>
      </c>
      <c r="G495" s="12" t="s">
        <v>3743</v>
      </c>
      <c r="H495" s="12">
        <v>1</v>
      </c>
      <c r="I495" s="13" t="str">
        <f>HYPERLINK("http://www.ncbi.nlm.nih.gov/gene/7263", "7263")</f>
        <v>7263</v>
      </c>
      <c r="J495" s="12" t="s">
        <v>17401</v>
      </c>
      <c r="K495" s="12" t="s">
        <v>17402</v>
      </c>
      <c r="L495" s="13" t="str">
        <f>HYPERLINK("http://asia.ensembl.org/Homo_sapiens/Gene/Summary?g=ENSG00000128311", "ENSG00000128311")</f>
        <v>ENSG00000128311</v>
      </c>
      <c r="M495" s="12" t="s">
        <v>17403</v>
      </c>
      <c r="N495" s="12" t="s">
        <v>17404</v>
      </c>
    </row>
    <row r="496" spans="1:14">
      <c r="A496" s="12" t="s">
        <v>9628</v>
      </c>
      <c r="B496" s="8">
        <v>43621.6938229609</v>
      </c>
      <c r="C496" s="12">
        <v>117207.5493631</v>
      </c>
      <c r="D496" s="8">
        <v>-1.4259478012640301</v>
      </c>
      <c r="E496" s="12">
        <v>1.08269713713081E-3</v>
      </c>
      <c r="F496" s="8" t="s">
        <v>7267</v>
      </c>
      <c r="G496" s="12" t="s">
        <v>7268</v>
      </c>
      <c r="H496" s="12">
        <v>1</v>
      </c>
      <c r="I496" s="13" t="str">
        <f>HYPERLINK("http://www.ncbi.nlm.nih.gov/gene/1652", "1652")</f>
        <v>1652</v>
      </c>
      <c r="J496" s="12" t="s">
        <v>18455</v>
      </c>
      <c r="K496" s="12" t="s">
        <v>18456</v>
      </c>
      <c r="L496" s="13" t="str">
        <f>HYPERLINK("http://asia.ensembl.org/Homo_sapiens/Gene/Summary?g=ENSG00000275003", "ENSG00000275003")</f>
        <v>ENSG00000275003</v>
      </c>
      <c r="M496" s="12" t="s">
        <v>7269</v>
      </c>
      <c r="N496" s="12" t="s">
        <v>7270</v>
      </c>
    </row>
    <row r="497" spans="1:14">
      <c r="A497" s="12" t="s">
        <v>9762</v>
      </c>
      <c r="B497" s="8">
        <v>429.890974910127</v>
      </c>
      <c r="C497" s="12">
        <v>1154.5539702759099</v>
      </c>
      <c r="D497" s="8">
        <v>-1.42529288633041</v>
      </c>
      <c r="E497" s="12">
        <v>4.95758982786548E-4</v>
      </c>
      <c r="F497" s="8" t="s">
        <v>9763</v>
      </c>
      <c r="G497" s="12" t="s">
        <v>15570</v>
      </c>
      <c r="H497" s="12">
        <v>1</v>
      </c>
      <c r="I497" s="13" t="str">
        <f>HYPERLINK("http://www.ncbi.nlm.nih.gov/gene/389362", "389362")</f>
        <v>389362</v>
      </c>
      <c r="J497" s="12" t="s">
        <v>19306</v>
      </c>
      <c r="K497" s="12" t="s">
        <v>19307</v>
      </c>
      <c r="L497" s="13" t="str">
        <f>HYPERLINK("http://asia.ensembl.org/Homo_sapiens/Gene/Summary?g=ENSG00000180822", "ENSG00000180822")</f>
        <v>ENSG00000180822</v>
      </c>
      <c r="M497" s="12" t="s">
        <v>19308</v>
      </c>
      <c r="N497" s="12" t="s">
        <v>19309</v>
      </c>
    </row>
    <row r="498" spans="1:14">
      <c r="A498" s="12" t="s">
        <v>2482</v>
      </c>
      <c r="B498" s="8">
        <v>1370.2144737102899</v>
      </c>
      <c r="C498" s="12">
        <v>3677.4949618311002</v>
      </c>
      <c r="D498" s="8">
        <v>-1.4243216353499399</v>
      </c>
      <c r="E498" s="12">
        <v>2.3232389725822599E-2</v>
      </c>
      <c r="F498" s="8" t="s">
        <v>2483</v>
      </c>
      <c r="G498" s="12" t="s">
        <v>2484</v>
      </c>
      <c r="H498" s="12">
        <v>1</v>
      </c>
      <c r="I498" s="13" t="str">
        <f>HYPERLINK("http://www.ncbi.nlm.nih.gov/gene/55321", "55321")</f>
        <v>55321</v>
      </c>
      <c r="J498" s="13" t="str">
        <f>HYPERLINK("http://www.ncbi.nlm.nih.gov/nuccore/NM_018354", "NM_018354")</f>
        <v>NM_018354</v>
      </c>
      <c r="K498" s="12" t="s">
        <v>2485</v>
      </c>
      <c r="L498" s="13" t="str">
        <f>HYPERLINK("http://asia.ensembl.org/Homo_sapiens/Gene/Summary?g=ENSG00000125895", "ENSG00000125895")</f>
        <v>ENSG00000125895</v>
      </c>
      <c r="M498" s="12" t="s">
        <v>17012</v>
      </c>
      <c r="N498" s="12" t="s">
        <v>17013</v>
      </c>
    </row>
    <row r="499" spans="1:14">
      <c r="A499" s="12" t="s">
        <v>8078</v>
      </c>
      <c r="B499" s="8">
        <v>56.526620212253697</v>
      </c>
      <c r="C499" s="12">
        <v>151.62800564488001</v>
      </c>
      <c r="D499" s="8">
        <v>-1.42353389905153</v>
      </c>
      <c r="E499" s="12">
        <v>3.9054050590290303E-2</v>
      </c>
      <c r="F499" s="8" t="s">
        <v>8079</v>
      </c>
      <c r="G499" s="12" t="s">
        <v>8080</v>
      </c>
      <c r="H499" s="12">
        <v>1</v>
      </c>
      <c r="I499" s="13" t="str">
        <f>HYPERLINK("http://www.ncbi.nlm.nih.gov/gene/389690", "389690")</f>
        <v>389690</v>
      </c>
      <c r="J499" s="13" t="str">
        <f>HYPERLINK("http://www.ncbi.nlm.nih.gov/nuccore/NM_207414", "NM_207414")</f>
        <v>NM_207414</v>
      </c>
      <c r="K499" s="12" t="s">
        <v>8081</v>
      </c>
      <c r="L499" s="13" t="str">
        <f>HYPERLINK("http://asia.ensembl.org/Homo_sapiens/Gene/Summary?g=ENSG00000226807", "ENSG00000226807")</f>
        <v>ENSG00000226807</v>
      </c>
      <c r="M499" s="12" t="s">
        <v>18719</v>
      </c>
      <c r="N499" s="12" t="s">
        <v>18720</v>
      </c>
    </row>
    <row r="500" spans="1:14">
      <c r="A500" s="12" t="s">
        <v>1800</v>
      </c>
      <c r="B500" s="8">
        <v>79.117473587548901</v>
      </c>
      <c r="C500" s="12">
        <v>211.954326320463</v>
      </c>
      <c r="D500" s="8">
        <v>-1.4216851511634401</v>
      </c>
      <c r="E500" s="12">
        <v>1.6091109628429399E-3</v>
      </c>
      <c r="F500" s="8" t="s">
        <v>1801</v>
      </c>
      <c r="G500" s="12" t="s">
        <v>1802</v>
      </c>
      <c r="H500" s="12">
        <v>1</v>
      </c>
      <c r="I500" s="13" t="str">
        <f>HYPERLINK("http://www.ncbi.nlm.nih.gov/gene/762", "762")</f>
        <v>762</v>
      </c>
      <c r="J500" s="13" t="str">
        <f>HYPERLINK("http://www.ncbi.nlm.nih.gov/nuccore/NM_000717", "NM_000717")</f>
        <v>NM_000717</v>
      </c>
      <c r="K500" s="12" t="s">
        <v>1803</v>
      </c>
      <c r="L500" s="13" t="str">
        <f>HYPERLINK("http://asia.ensembl.org/Homo_sapiens/Gene/Summary?g=ENSG00000167434", "ENSG00000167434")</f>
        <v>ENSG00000167434</v>
      </c>
      <c r="M500" s="12" t="s">
        <v>16791</v>
      </c>
      <c r="N500" s="12" t="s">
        <v>16792</v>
      </c>
    </row>
    <row r="501" spans="1:14">
      <c r="A501" s="12" t="s">
        <v>11769</v>
      </c>
      <c r="B501" s="8">
        <v>1669.1305789283199</v>
      </c>
      <c r="C501" s="12">
        <v>4470.7575831849399</v>
      </c>
      <c r="D501" s="8">
        <v>-1.4214224974884799</v>
      </c>
      <c r="E501" s="12">
        <v>3.8055681126268402E-3</v>
      </c>
      <c r="F501" s="8" t="s">
        <v>400</v>
      </c>
      <c r="G501" s="12" t="s">
        <v>401</v>
      </c>
      <c r="H501" s="12">
        <v>1</v>
      </c>
      <c r="I501" s="13" t="str">
        <f>HYPERLINK("http://www.ncbi.nlm.nih.gov/gene/23762", "23762")</f>
        <v>23762</v>
      </c>
      <c r="J501" s="13" t="str">
        <f>HYPERLINK("http://www.ncbi.nlm.nih.gov/nuccore/NM_030758", "NM_030758")</f>
        <v>NM_030758</v>
      </c>
      <c r="K501" s="12" t="s">
        <v>402</v>
      </c>
      <c r="L501" s="13" t="str">
        <f>HYPERLINK("http://asia.ensembl.org/Homo_sapiens/Gene/Summary?g=ENSG00000184792", "ENSG00000184792")</f>
        <v>ENSG00000184792</v>
      </c>
      <c r="M501" s="12" t="s">
        <v>20195</v>
      </c>
      <c r="N501" s="12" t="s">
        <v>20196</v>
      </c>
    </row>
    <row r="502" spans="1:14">
      <c r="A502" s="12" t="s">
        <v>10938</v>
      </c>
      <c r="B502" s="8">
        <v>167.685054119499</v>
      </c>
      <c r="C502" s="12">
        <v>449.05442084604101</v>
      </c>
      <c r="D502" s="8">
        <v>-1.42113618932033</v>
      </c>
      <c r="E502" s="12">
        <v>2.19005079748762E-2</v>
      </c>
      <c r="F502" s="8" t="s">
        <v>10939</v>
      </c>
      <c r="G502" s="12" t="s">
        <v>19910</v>
      </c>
      <c r="H502" s="12">
        <v>4</v>
      </c>
      <c r="I502" s="12" t="s">
        <v>10940</v>
      </c>
      <c r="J502" s="12" t="s">
        <v>10941</v>
      </c>
      <c r="K502" s="12" t="s">
        <v>10942</v>
      </c>
      <c r="L502" s="12" t="s">
        <v>10943</v>
      </c>
      <c r="M502" s="12" t="s">
        <v>10944</v>
      </c>
      <c r="N502" s="12" t="s">
        <v>10945</v>
      </c>
    </row>
    <row r="503" spans="1:14">
      <c r="A503" s="12" t="s">
        <v>6743</v>
      </c>
      <c r="B503" s="8">
        <v>22091.6129791454</v>
      </c>
      <c r="C503" s="12">
        <v>59159.914169568998</v>
      </c>
      <c r="D503" s="8">
        <v>-1.42112120104002</v>
      </c>
      <c r="E503" s="12">
        <v>5.0346400026640798E-3</v>
      </c>
      <c r="F503" s="8" t="s">
        <v>6744</v>
      </c>
      <c r="G503" s="12" t="s">
        <v>6745</v>
      </c>
      <c r="H503" s="12">
        <v>1</v>
      </c>
      <c r="I503" s="13" t="str">
        <f>HYPERLINK("http://www.ncbi.nlm.nih.gov/gene/1978", "1978")</f>
        <v>1978</v>
      </c>
      <c r="J503" s="13" t="str">
        <f>HYPERLINK("http://www.ncbi.nlm.nih.gov/nuccore/NM_004095", "NM_004095")</f>
        <v>NM_004095</v>
      </c>
      <c r="K503" s="12" t="s">
        <v>6746</v>
      </c>
      <c r="L503" s="13" t="str">
        <f>HYPERLINK("http://asia.ensembl.org/Homo_sapiens/Gene/Summary?g=ENSG00000187840", "ENSG00000187840")</f>
        <v>ENSG00000187840</v>
      </c>
      <c r="M503" s="12" t="s">
        <v>18251</v>
      </c>
      <c r="N503" s="12" t="s">
        <v>6747</v>
      </c>
    </row>
    <row r="504" spans="1:14">
      <c r="A504" s="12" t="s">
        <v>4304</v>
      </c>
      <c r="B504" s="8">
        <v>13520.1298822646</v>
      </c>
      <c r="C504" s="12">
        <v>36199.391137250001</v>
      </c>
      <c r="D504" s="8">
        <v>-1.42085642076282</v>
      </c>
      <c r="E504" s="12">
        <v>3.4205154153231698E-3</v>
      </c>
      <c r="F504" s="8" t="s">
        <v>4305</v>
      </c>
      <c r="G504" s="12" t="s">
        <v>4306</v>
      </c>
      <c r="H504" s="12">
        <v>1</v>
      </c>
      <c r="I504" s="13" t="str">
        <f>HYPERLINK("http://www.ncbi.nlm.nih.gov/gene/51668", "51668")</f>
        <v>51668</v>
      </c>
      <c r="J504" s="13" t="str">
        <f>HYPERLINK("http://www.ncbi.nlm.nih.gov/nuccore/NM_016126", "NM_016126")</f>
        <v>NM_016126</v>
      </c>
      <c r="K504" s="12" t="s">
        <v>4307</v>
      </c>
      <c r="L504" s="13" t="str">
        <f>HYPERLINK("http://asia.ensembl.org/Homo_sapiens/Gene/Summary?g=ENSG00000081870", "ENSG00000081870")</f>
        <v>ENSG00000081870</v>
      </c>
      <c r="M504" s="12" t="s">
        <v>17648</v>
      </c>
      <c r="N504" s="12" t="s">
        <v>17649</v>
      </c>
    </row>
    <row r="505" spans="1:14">
      <c r="A505" s="12" t="s">
        <v>7491</v>
      </c>
      <c r="B505" s="8">
        <v>11408.961570314899</v>
      </c>
      <c r="C505" s="12">
        <v>30536.853010226801</v>
      </c>
      <c r="D505" s="8">
        <v>-1.4203839069086399</v>
      </c>
      <c r="E505" s="12">
        <v>3.3165866201101098E-4</v>
      </c>
      <c r="F505" s="8" t="s">
        <v>7492</v>
      </c>
      <c r="G505" s="12" t="s">
        <v>7493</v>
      </c>
      <c r="H505" s="12">
        <v>1</v>
      </c>
      <c r="I505" s="13" t="str">
        <f>HYPERLINK("http://www.ncbi.nlm.nih.gov/gene/6001", "6001")</f>
        <v>6001</v>
      </c>
      <c r="J505" s="12" t="s">
        <v>18550</v>
      </c>
      <c r="K505" s="12" t="s">
        <v>18551</v>
      </c>
      <c r="L505" s="13" t="str">
        <f>HYPERLINK("http://asia.ensembl.org/Homo_sapiens/Gene/Summary?g=ENSG00000148908", "ENSG00000148908")</f>
        <v>ENSG00000148908</v>
      </c>
      <c r="M505" s="12" t="s">
        <v>18552</v>
      </c>
      <c r="N505" s="12" t="s">
        <v>18553</v>
      </c>
    </row>
    <row r="506" spans="1:14">
      <c r="A506" s="12" t="s">
        <v>3174</v>
      </c>
      <c r="B506" s="8">
        <v>219.30694599940799</v>
      </c>
      <c r="C506" s="12">
        <v>586.95960009005103</v>
      </c>
      <c r="D506" s="8">
        <v>-1.4203097008344301</v>
      </c>
      <c r="E506" s="12">
        <v>6.5923785383945196E-4</v>
      </c>
      <c r="F506" s="8" t="s">
        <v>3175</v>
      </c>
      <c r="G506" s="12" t="s">
        <v>93</v>
      </c>
      <c r="H506" s="12">
        <v>1</v>
      </c>
      <c r="I506" s="13" t="str">
        <f>HYPERLINK("http://www.ncbi.nlm.nih.gov/gene/56521", "56521")</f>
        <v>56521</v>
      </c>
      <c r="J506" s="12" t="s">
        <v>17233</v>
      </c>
      <c r="K506" s="12" t="s">
        <v>17234</v>
      </c>
      <c r="L506" s="13" t="str">
        <f>HYPERLINK("http://asia.ensembl.org/Homo_sapiens/Gene/Summary?g=ENSG00000108176", "ENSG00000108176")</f>
        <v>ENSG00000108176</v>
      </c>
      <c r="M506" s="12" t="s">
        <v>17235</v>
      </c>
      <c r="N506" s="12" t="s">
        <v>17236</v>
      </c>
    </row>
    <row r="507" spans="1:14">
      <c r="A507" s="12" t="s">
        <v>9851</v>
      </c>
      <c r="B507" s="8">
        <v>10324.2345272238</v>
      </c>
      <c r="C507" s="12">
        <v>27622.133755160801</v>
      </c>
      <c r="D507" s="8">
        <v>-1.4197899497925399</v>
      </c>
      <c r="E507" s="12">
        <v>4.3854634397997298E-4</v>
      </c>
      <c r="F507" s="8" t="s">
        <v>8840</v>
      </c>
      <c r="G507" s="12" t="s">
        <v>8841</v>
      </c>
      <c r="H507" s="12">
        <v>1</v>
      </c>
      <c r="I507" s="13" t="str">
        <f>HYPERLINK("http://www.ncbi.nlm.nih.gov/gene/374882", "374882")</f>
        <v>374882</v>
      </c>
      <c r="J507" s="12" t="s">
        <v>19368</v>
      </c>
      <c r="K507" s="12" t="s">
        <v>19369</v>
      </c>
      <c r="L507" s="13" t="str">
        <f>HYPERLINK("http://asia.ensembl.org/Homo_sapiens/Gene/Summary?g=ENSG00000105518", "ENSG00000105518")</f>
        <v>ENSG00000105518</v>
      </c>
      <c r="M507" s="12" t="s">
        <v>19370</v>
      </c>
      <c r="N507" s="12" t="s">
        <v>19371</v>
      </c>
    </row>
    <row r="508" spans="1:14">
      <c r="A508" s="12" t="s">
        <v>3837</v>
      </c>
      <c r="B508" s="8">
        <v>11777.4258334442</v>
      </c>
      <c r="C508" s="12">
        <v>31499.387566298599</v>
      </c>
      <c r="D508" s="8">
        <v>-1.4192995320919</v>
      </c>
      <c r="E508" s="12">
        <v>1.34485951311072E-3</v>
      </c>
      <c r="F508" s="8" t="s">
        <v>3838</v>
      </c>
      <c r="G508" s="12" t="s">
        <v>17438</v>
      </c>
      <c r="H508" s="12">
        <v>1</v>
      </c>
      <c r="I508" s="13" t="str">
        <f>HYPERLINK("http://www.ncbi.nlm.nih.gov/gene/10542", "10542")</f>
        <v>10542</v>
      </c>
      <c r="J508" s="13" t="str">
        <f>HYPERLINK("http://www.ncbi.nlm.nih.gov/nuccore/NM_006402", "NM_006402")</f>
        <v>NM_006402</v>
      </c>
      <c r="K508" s="12" t="s">
        <v>3839</v>
      </c>
      <c r="L508" s="13" t="str">
        <f>HYPERLINK("http://asia.ensembl.org/Homo_sapiens/Gene/Summary?g=ENSG00000134248", "ENSG00000134248")</f>
        <v>ENSG00000134248</v>
      </c>
      <c r="M508" s="12" t="s">
        <v>17439</v>
      </c>
      <c r="N508" s="12" t="s">
        <v>17440</v>
      </c>
    </row>
    <row r="509" spans="1:14">
      <c r="A509" s="12" t="s">
        <v>4161</v>
      </c>
      <c r="B509" s="8">
        <v>3903.52324744302</v>
      </c>
      <c r="C509" s="12">
        <v>10437.8970743809</v>
      </c>
      <c r="D509" s="8">
        <v>-1.4189823142823299</v>
      </c>
      <c r="E509" s="12">
        <v>4.2364195063876301E-4</v>
      </c>
      <c r="F509" s="8" t="s">
        <v>4162</v>
      </c>
      <c r="G509" s="12" t="s">
        <v>4163</v>
      </c>
      <c r="H509" s="12">
        <v>1</v>
      </c>
      <c r="I509" s="13" t="str">
        <f>HYPERLINK("http://www.ncbi.nlm.nih.gov/gene/119504", "119504")</f>
        <v>119504</v>
      </c>
      <c r="J509" s="12" t="s">
        <v>17587</v>
      </c>
      <c r="K509" s="12" t="s">
        <v>17588</v>
      </c>
      <c r="L509" s="13" t="str">
        <f>HYPERLINK("http://asia.ensembl.org/Homo_sapiens/Gene/Summary?g=ENSG00000166295", "ENSG00000166295")</f>
        <v>ENSG00000166295</v>
      </c>
      <c r="M509" s="12" t="s">
        <v>17589</v>
      </c>
      <c r="N509" s="12" t="s">
        <v>17590</v>
      </c>
    </row>
    <row r="510" spans="1:14">
      <c r="A510" s="12" t="s">
        <v>5162</v>
      </c>
      <c r="B510" s="8">
        <v>3960.6167756618202</v>
      </c>
      <c r="C510" s="12">
        <v>10589.9839148463</v>
      </c>
      <c r="D510" s="8">
        <v>-1.4189033782828899</v>
      </c>
      <c r="E510" s="12">
        <v>1.7506440462690799E-3</v>
      </c>
      <c r="F510" s="8" t="s">
        <v>5163</v>
      </c>
      <c r="G510" s="12" t="s">
        <v>5164</v>
      </c>
      <c r="H510" s="12">
        <v>1</v>
      </c>
      <c r="I510" s="13" t="str">
        <f>HYPERLINK("http://www.ncbi.nlm.nih.gov/gene/10289", "10289")</f>
        <v>10289</v>
      </c>
      <c r="J510" s="13" t="str">
        <f>HYPERLINK("http://www.ncbi.nlm.nih.gov/nuccore/NM_005875", "NM_005875")</f>
        <v>NM_005875</v>
      </c>
      <c r="K510" s="12" t="s">
        <v>5165</v>
      </c>
      <c r="L510" s="13" t="str">
        <f>HYPERLINK("http://asia.ensembl.org/Homo_sapiens/Gene/Summary?g=ENSG00000114784", "ENSG00000114784")</f>
        <v>ENSG00000114784</v>
      </c>
      <c r="M510" s="12" t="s">
        <v>17811</v>
      </c>
      <c r="N510" s="12" t="s">
        <v>5166</v>
      </c>
    </row>
    <row r="511" spans="1:14">
      <c r="A511" s="12" t="s">
        <v>11715</v>
      </c>
      <c r="B511" s="8">
        <v>140.57198443393801</v>
      </c>
      <c r="C511" s="12">
        <v>375.39942520007003</v>
      </c>
      <c r="D511" s="8">
        <v>-1.4171173428067101</v>
      </c>
      <c r="E511" s="12">
        <v>3.3847500957692803E-2</v>
      </c>
      <c r="F511" s="8" t="s">
        <v>38</v>
      </c>
      <c r="G511" s="12" t="s">
        <v>38</v>
      </c>
      <c r="H511" s="12">
        <v>1</v>
      </c>
      <c r="I511" s="12" t="s">
        <v>38</v>
      </c>
      <c r="J511" s="12" t="s">
        <v>38</v>
      </c>
      <c r="K511" s="12" t="s">
        <v>38</v>
      </c>
      <c r="L511" s="13" t="str">
        <f>HYPERLINK("http://asia.ensembl.org/Homo_sapiens/Gene/Summary?g=ENSG00000211789", "ENSG00000211789")</f>
        <v>ENSG00000211789</v>
      </c>
      <c r="M511" s="12" t="s">
        <v>11716</v>
      </c>
      <c r="N511" s="12" t="s">
        <v>11717</v>
      </c>
    </row>
    <row r="512" spans="1:14">
      <c r="A512" s="12" t="s">
        <v>9910</v>
      </c>
      <c r="B512" s="8">
        <v>913.18119381682902</v>
      </c>
      <c r="C512" s="12">
        <v>2435.65064274933</v>
      </c>
      <c r="D512" s="8">
        <v>-1.41533416138293</v>
      </c>
      <c r="E512" s="12">
        <v>5.1863479339680496E-3</v>
      </c>
      <c r="F512" s="8" t="s">
        <v>6608</v>
      </c>
      <c r="G512" s="12" t="s">
        <v>6609</v>
      </c>
      <c r="H512" s="12">
        <v>1</v>
      </c>
      <c r="I512" s="13" t="str">
        <f>HYPERLINK("http://www.ncbi.nlm.nih.gov/gene/5325", "5325")</f>
        <v>5325</v>
      </c>
      <c r="J512" s="12" t="s">
        <v>19412</v>
      </c>
      <c r="K512" s="12" t="s">
        <v>19413</v>
      </c>
      <c r="L512" s="13" t="str">
        <f>HYPERLINK("http://asia.ensembl.org/Homo_sapiens/Gene/Summary?g=ENSG00000118495", "ENSG00000118495")</f>
        <v>ENSG00000118495</v>
      </c>
      <c r="M512" s="12" t="s">
        <v>19414</v>
      </c>
      <c r="N512" s="12" t="s">
        <v>19415</v>
      </c>
    </row>
    <row r="513" spans="1:14">
      <c r="A513" s="12" t="s">
        <v>1010</v>
      </c>
      <c r="B513" s="8">
        <v>48432.397365946803</v>
      </c>
      <c r="C513" s="12">
        <v>129177.53526983901</v>
      </c>
      <c r="D513" s="8">
        <v>-1.4153108766251601</v>
      </c>
      <c r="E513" s="12">
        <v>2.6994071536450498E-3</v>
      </c>
      <c r="F513" s="8" t="s">
        <v>1011</v>
      </c>
      <c r="G513" s="12" t="s">
        <v>1012</v>
      </c>
      <c r="H513" s="12">
        <v>1</v>
      </c>
      <c r="I513" s="13" t="str">
        <f>HYPERLINK("http://www.ncbi.nlm.nih.gov/gene/83460", "83460")</f>
        <v>83460</v>
      </c>
      <c r="J513" s="12" t="s">
        <v>16483</v>
      </c>
      <c r="K513" s="12" t="s">
        <v>16484</v>
      </c>
      <c r="L513" s="13" t="str">
        <f>HYPERLINK("http://asia.ensembl.org/Homo_sapiens/Gene/Summary?g=ENSG00000127774", "ENSG00000127774")</f>
        <v>ENSG00000127774</v>
      </c>
      <c r="M513" s="12" t="s">
        <v>16485</v>
      </c>
      <c r="N513" s="12" t="s">
        <v>16486</v>
      </c>
    </row>
    <row r="514" spans="1:14">
      <c r="A514" s="12" t="s">
        <v>8391</v>
      </c>
      <c r="B514" s="8">
        <v>74283.9154580951</v>
      </c>
      <c r="C514" s="12">
        <v>198039.76043451799</v>
      </c>
      <c r="D514" s="8">
        <v>-1.41466834327778</v>
      </c>
      <c r="E514" s="12">
        <v>2.4746881722899402E-3</v>
      </c>
      <c r="F514" s="8" t="s">
        <v>8392</v>
      </c>
      <c r="G514" s="12" t="s">
        <v>286</v>
      </c>
      <c r="H514" s="12">
        <v>1</v>
      </c>
      <c r="I514" s="13" t="str">
        <f>HYPERLINK("http://www.ncbi.nlm.nih.gov/gene/4694", "4694")</f>
        <v>4694</v>
      </c>
      <c r="J514" s="13" t="str">
        <f>HYPERLINK("http://www.ncbi.nlm.nih.gov/nuccore/NM_004541", "NM_004541")</f>
        <v>NM_004541</v>
      </c>
      <c r="K514" s="12" t="s">
        <v>8393</v>
      </c>
      <c r="L514" s="13" t="str">
        <f>HYPERLINK("http://asia.ensembl.org/Homo_sapiens/Gene/Summary?g=ENSG00000125356", "ENSG00000125356")</f>
        <v>ENSG00000125356</v>
      </c>
      <c r="M514" s="12" t="s">
        <v>8394</v>
      </c>
      <c r="N514" s="12" t="s">
        <v>8395</v>
      </c>
    </row>
    <row r="515" spans="1:14">
      <c r="A515" s="12" t="s">
        <v>10813</v>
      </c>
      <c r="B515" s="8">
        <v>73.027046886866501</v>
      </c>
      <c r="C515" s="12">
        <v>194.55383439527299</v>
      </c>
      <c r="D515" s="8">
        <v>-1.4136666179106301</v>
      </c>
      <c r="E515" s="12">
        <v>5.8848175485424698E-3</v>
      </c>
      <c r="F515" s="8" t="s">
        <v>4948</v>
      </c>
      <c r="G515" s="12" t="s">
        <v>12717</v>
      </c>
      <c r="H515" s="12">
        <v>1</v>
      </c>
      <c r="I515" s="13" t="str">
        <f>HYPERLINK("http://www.ncbi.nlm.nih.gov/gene/10371", "10371")</f>
        <v>10371</v>
      </c>
      <c r="J515" s="13" t="str">
        <f>HYPERLINK("http://www.ncbi.nlm.nih.gov/nuccore/NM_006080", "NM_006080")</f>
        <v>NM_006080</v>
      </c>
      <c r="K515" s="12" t="s">
        <v>4949</v>
      </c>
      <c r="L515" s="13" t="str">
        <f>HYPERLINK("http://asia.ensembl.org/Homo_sapiens/Gene/Summary?g=ENSG00000075213", "ENSG00000075213")</f>
        <v>ENSG00000075213</v>
      </c>
      <c r="M515" s="12" t="s">
        <v>19859</v>
      </c>
      <c r="N515" s="12" t="s">
        <v>19860</v>
      </c>
    </row>
    <row r="516" spans="1:14">
      <c r="A516" s="12" t="s">
        <v>1085</v>
      </c>
      <c r="B516" s="8">
        <v>630.76628524446801</v>
      </c>
      <c r="C516" s="12">
        <v>1679.80224352095</v>
      </c>
      <c r="D516" s="8">
        <v>-1.4131139456442401</v>
      </c>
      <c r="E516" s="12">
        <v>9.6006025691807698E-4</v>
      </c>
      <c r="F516" s="8" t="s">
        <v>1086</v>
      </c>
      <c r="G516" s="12" t="s">
        <v>16508</v>
      </c>
      <c r="H516" s="12">
        <v>1</v>
      </c>
      <c r="I516" s="13" t="str">
        <f>HYPERLINK("http://www.ncbi.nlm.nih.gov/gene/3761", "3761")</f>
        <v>3761</v>
      </c>
      <c r="J516" s="12" t="s">
        <v>16509</v>
      </c>
      <c r="K516" s="12" t="s">
        <v>16510</v>
      </c>
      <c r="L516" s="13" t="str">
        <f>HYPERLINK("http://asia.ensembl.org/Homo_sapiens/Gene/Summary?g=ENSG00000168135", "ENSG00000168135")</f>
        <v>ENSG00000168135</v>
      </c>
      <c r="M516" s="12" t="s">
        <v>1087</v>
      </c>
      <c r="N516" s="12" t="s">
        <v>1088</v>
      </c>
    </row>
    <row r="517" spans="1:14">
      <c r="A517" s="12" t="s">
        <v>11721</v>
      </c>
      <c r="B517" s="8">
        <v>20640.207812345401</v>
      </c>
      <c r="C517" s="12">
        <v>54950.459099722902</v>
      </c>
      <c r="D517" s="8">
        <v>-1.412674038285</v>
      </c>
      <c r="E517" s="12">
        <v>4.0803881198080399E-4</v>
      </c>
      <c r="F517" s="8" t="s">
        <v>38</v>
      </c>
      <c r="G517" s="12" t="s">
        <v>38</v>
      </c>
      <c r="H517" s="12">
        <v>1</v>
      </c>
      <c r="I517" s="12" t="s">
        <v>38</v>
      </c>
      <c r="J517" s="12" t="s">
        <v>38</v>
      </c>
      <c r="K517" s="12" t="s">
        <v>38</v>
      </c>
      <c r="L517" s="13" t="str">
        <f>HYPERLINK("http://asia.ensembl.org/Homo_sapiens/Gene/Summary?g=ENSG00000267059", "ENSG00000267059")</f>
        <v>ENSG00000267059</v>
      </c>
      <c r="M517" s="12" t="s">
        <v>11722</v>
      </c>
      <c r="N517" s="12" t="s">
        <v>11723</v>
      </c>
    </row>
    <row r="518" spans="1:14">
      <c r="A518" s="12" t="s">
        <v>1722</v>
      </c>
      <c r="B518" s="8">
        <v>50428.786596178797</v>
      </c>
      <c r="C518" s="12">
        <v>134140.52041748399</v>
      </c>
      <c r="D518" s="8">
        <v>-1.41142568723183</v>
      </c>
      <c r="E518" s="12">
        <v>2.87928857158656E-3</v>
      </c>
      <c r="F518" s="8" t="s">
        <v>1723</v>
      </c>
      <c r="G518" s="12" t="s">
        <v>1724</v>
      </c>
      <c r="H518" s="12">
        <v>1</v>
      </c>
      <c r="I518" s="13" t="str">
        <f>HYPERLINK("http://www.ncbi.nlm.nih.gov/gene/1164", "1164")</f>
        <v>1164</v>
      </c>
      <c r="J518" s="13" t="str">
        <f>HYPERLINK("http://www.ncbi.nlm.nih.gov/nuccore/NM_001827", "NM_001827")</f>
        <v>NM_001827</v>
      </c>
      <c r="K518" s="12" t="s">
        <v>1725</v>
      </c>
      <c r="L518" s="13" t="str">
        <f>HYPERLINK("http://asia.ensembl.org/Homo_sapiens/Gene/Summary?g=ENSG00000123975", "ENSG00000123975")</f>
        <v>ENSG00000123975</v>
      </c>
      <c r="M518" s="12" t="s">
        <v>1726</v>
      </c>
      <c r="N518" s="12" t="s">
        <v>1727</v>
      </c>
    </row>
    <row r="519" spans="1:14">
      <c r="A519" s="12" t="s">
        <v>7127</v>
      </c>
      <c r="B519" s="8">
        <v>108.829036832913</v>
      </c>
      <c r="C519" s="12">
        <v>289.470346970908</v>
      </c>
      <c r="D519" s="8">
        <v>-1.4113520321629001</v>
      </c>
      <c r="E519" s="12">
        <v>2.0304196707891498E-3</v>
      </c>
      <c r="F519" s="8" t="s">
        <v>7128</v>
      </c>
      <c r="G519" s="12" t="s">
        <v>18383</v>
      </c>
      <c r="H519" s="12">
        <v>1</v>
      </c>
      <c r="I519" s="13" t="str">
        <f>HYPERLINK("http://www.ncbi.nlm.nih.gov/gene/90204", "90204")</f>
        <v>90204</v>
      </c>
      <c r="J519" s="13" t="str">
        <f>HYPERLINK("http://www.ncbi.nlm.nih.gov/nuccore/NM_080603", "NM_080603")</f>
        <v>NM_080603</v>
      </c>
      <c r="K519" s="12" t="s">
        <v>7129</v>
      </c>
      <c r="L519" s="13" t="str">
        <f>HYPERLINK("http://asia.ensembl.org/Homo_sapiens/Gene/Summary?g=ENSG00000168612", "ENSG00000168612")</f>
        <v>ENSG00000168612</v>
      </c>
      <c r="M519" s="12" t="s">
        <v>18384</v>
      </c>
      <c r="N519" s="12" t="s">
        <v>18385</v>
      </c>
    </row>
    <row r="520" spans="1:14">
      <c r="A520" s="12" t="s">
        <v>6943</v>
      </c>
      <c r="B520" s="8">
        <v>1024.1597620509001</v>
      </c>
      <c r="C520" s="12">
        <v>2723.3447837987701</v>
      </c>
      <c r="D520" s="8">
        <v>-1.4109388599207999</v>
      </c>
      <c r="E520" s="12">
        <v>2.49603870468104E-3</v>
      </c>
      <c r="F520" s="8" t="s">
        <v>6944</v>
      </c>
      <c r="G520" s="12" t="s">
        <v>6945</v>
      </c>
      <c r="H520" s="12">
        <v>1</v>
      </c>
      <c r="I520" s="13" t="str">
        <f>HYPERLINK("http://www.ncbi.nlm.nih.gov/gene/5089", "5089")</f>
        <v>5089</v>
      </c>
      <c r="J520" s="13" t="str">
        <f>HYPERLINK("http://www.ncbi.nlm.nih.gov/nuccore/NM_002586", "NM_002586")</f>
        <v>NM_002586</v>
      </c>
      <c r="K520" s="12" t="s">
        <v>6946</v>
      </c>
      <c r="L520" s="13" t="str">
        <f>HYPERLINK("http://asia.ensembl.org/Homo_sapiens/Gene/Summary?g=ENSG00000224952", "ENSG00000224952")</f>
        <v>ENSG00000224952</v>
      </c>
      <c r="M520" s="12" t="s">
        <v>18310</v>
      </c>
      <c r="N520" s="12" t="s">
        <v>6947</v>
      </c>
    </row>
    <row r="521" spans="1:14">
      <c r="A521" s="12" t="s">
        <v>9379</v>
      </c>
      <c r="B521" s="8">
        <v>88.141162434986796</v>
      </c>
      <c r="C521" s="12">
        <v>234.37479810350101</v>
      </c>
      <c r="D521" s="8">
        <v>-1.41092961912585</v>
      </c>
      <c r="E521" s="12">
        <v>6.6849351203093299E-4</v>
      </c>
      <c r="F521" s="8" t="s">
        <v>9380</v>
      </c>
      <c r="G521" s="12" t="s">
        <v>19139</v>
      </c>
      <c r="H521" s="12">
        <v>1</v>
      </c>
      <c r="I521" s="13" t="str">
        <f>HYPERLINK("http://www.ncbi.nlm.nih.gov/gene/8350", "8350")</f>
        <v>8350</v>
      </c>
      <c r="J521" s="13" t="str">
        <f>HYPERLINK("http://www.ncbi.nlm.nih.gov/nuccore/NM_003529", "NM_003529")</f>
        <v>NM_003529</v>
      </c>
      <c r="K521" s="12" t="s">
        <v>9381</v>
      </c>
      <c r="L521" s="13" t="str">
        <f>HYPERLINK("http://asia.ensembl.org/Homo_sapiens/Gene/Summary?g=ENSG00000275714", "ENSG00000275714")</f>
        <v>ENSG00000275714</v>
      </c>
      <c r="M521" s="12" t="s">
        <v>9382</v>
      </c>
      <c r="N521" s="12" t="s">
        <v>9383</v>
      </c>
    </row>
    <row r="522" spans="1:14">
      <c r="A522" s="12" t="s">
        <v>11732</v>
      </c>
      <c r="B522" s="8">
        <v>30807.230552216301</v>
      </c>
      <c r="C522" s="12">
        <v>81840.824219604605</v>
      </c>
      <c r="D522" s="8">
        <v>-1.4095516789031</v>
      </c>
      <c r="E522" s="12">
        <v>3.0447789170361902E-3</v>
      </c>
      <c r="F522" s="8" t="s">
        <v>38</v>
      </c>
      <c r="G522" s="12" t="s">
        <v>38</v>
      </c>
      <c r="H522" s="12">
        <v>1</v>
      </c>
      <c r="I522" s="12" t="s">
        <v>38</v>
      </c>
      <c r="J522" s="12" t="s">
        <v>38</v>
      </c>
      <c r="K522" s="12" t="s">
        <v>38</v>
      </c>
      <c r="L522" s="13" t="str">
        <f>HYPERLINK("http://asia.ensembl.org/Homo_sapiens/Gene/Summary?g=ENSG00000279963", "ENSG00000279963")</f>
        <v>ENSG00000279963</v>
      </c>
      <c r="M522" s="12" t="s">
        <v>11733</v>
      </c>
      <c r="N522" s="12" t="s">
        <v>11734</v>
      </c>
    </row>
    <row r="523" spans="1:14">
      <c r="A523" s="12" t="s">
        <v>7014</v>
      </c>
      <c r="B523" s="8">
        <v>1251.6170208773799</v>
      </c>
      <c r="C523" s="12">
        <v>3324.2036281298201</v>
      </c>
      <c r="D523" s="8">
        <v>-1.4092155756584399</v>
      </c>
      <c r="E523" s="12">
        <v>7.1944841786228495E-4</v>
      </c>
      <c r="F523" s="8" t="s">
        <v>7015</v>
      </c>
      <c r="G523" s="12" t="s">
        <v>7016</v>
      </c>
      <c r="H523" s="12">
        <v>1</v>
      </c>
      <c r="I523" s="13" t="str">
        <f>HYPERLINK("http://www.ncbi.nlm.nih.gov/gene/1845", "1845")</f>
        <v>1845</v>
      </c>
      <c r="J523" s="13" t="str">
        <f>HYPERLINK("http://www.ncbi.nlm.nih.gov/nuccore/NM_004090", "NM_004090")</f>
        <v>NM_004090</v>
      </c>
      <c r="K523" s="12" t="s">
        <v>7017</v>
      </c>
      <c r="L523" s="13" t="str">
        <f>HYPERLINK("http://asia.ensembl.org/Homo_sapiens/Gene/Summary?g=ENSG00000108861", "ENSG00000108861")</f>
        <v>ENSG00000108861</v>
      </c>
      <c r="M523" s="12" t="s">
        <v>18337</v>
      </c>
      <c r="N523" s="12" t="s">
        <v>18338</v>
      </c>
    </row>
    <row r="524" spans="1:14">
      <c r="A524" s="12" t="s">
        <v>8052</v>
      </c>
      <c r="B524" s="8">
        <v>6930.7836076705398</v>
      </c>
      <c r="C524" s="12">
        <v>18403.6924871472</v>
      </c>
      <c r="D524" s="8">
        <v>-1.4089048747666899</v>
      </c>
      <c r="E524" s="12">
        <v>1.34668982022421E-3</v>
      </c>
      <c r="F524" s="8" t="s">
        <v>8053</v>
      </c>
      <c r="G524" s="12" t="s">
        <v>8054</v>
      </c>
      <c r="H524" s="12">
        <v>1</v>
      </c>
      <c r="I524" s="13" t="str">
        <f>HYPERLINK("http://www.ncbi.nlm.nih.gov/gene/1678", "1678")</f>
        <v>1678</v>
      </c>
      <c r="J524" s="13" t="str">
        <f>HYPERLINK("http://www.ncbi.nlm.nih.gov/nuccore/NM_004085", "NM_004085")</f>
        <v>NM_004085</v>
      </c>
      <c r="K524" s="12" t="s">
        <v>8055</v>
      </c>
      <c r="L524" s="13" t="str">
        <f>HYPERLINK("http://asia.ensembl.org/Homo_sapiens/Gene/Summary?g=ENSG00000126953", "ENSG00000126953")</f>
        <v>ENSG00000126953</v>
      </c>
      <c r="M524" s="12" t="s">
        <v>18712</v>
      </c>
      <c r="N524" s="12" t="s">
        <v>8056</v>
      </c>
    </row>
    <row r="525" spans="1:14">
      <c r="A525" s="12" t="s">
        <v>6586</v>
      </c>
      <c r="B525" s="8">
        <v>4377.5987725748801</v>
      </c>
      <c r="C525" s="12">
        <v>11621.8954193846</v>
      </c>
      <c r="D525" s="8">
        <v>-1.4086337416841099</v>
      </c>
      <c r="E525" s="12">
        <v>3.5576683288134001E-3</v>
      </c>
      <c r="F525" s="8" t="s">
        <v>6587</v>
      </c>
      <c r="G525" s="12" t="s">
        <v>6588</v>
      </c>
      <c r="H525" s="12">
        <v>1</v>
      </c>
      <c r="I525" s="13" t="str">
        <f>HYPERLINK("http://www.ncbi.nlm.nih.gov/gene/84823", "84823")</f>
        <v>84823</v>
      </c>
      <c r="J525" s="13" t="str">
        <f>HYPERLINK("http://www.ncbi.nlm.nih.gov/nuccore/NM_032737", "NM_032737")</f>
        <v>NM_032737</v>
      </c>
      <c r="K525" s="12" t="s">
        <v>6589</v>
      </c>
      <c r="L525" s="13" t="str">
        <f>HYPERLINK("http://asia.ensembl.org/Homo_sapiens/Gene/Summary?g=ENSG00000176619", "ENSG00000176619")</f>
        <v>ENSG00000176619</v>
      </c>
      <c r="M525" s="12" t="s">
        <v>18220</v>
      </c>
      <c r="N525" s="12" t="s">
        <v>6590</v>
      </c>
    </row>
    <row r="526" spans="1:14">
      <c r="A526" s="12" t="s">
        <v>9453</v>
      </c>
      <c r="B526" s="8">
        <v>83.347876565367898</v>
      </c>
      <c r="C526" s="12">
        <v>221.26756926251099</v>
      </c>
      <c r="D526" s="8">
        <v>-1.4085746641726999</v>
      </c>
      <c r="E526" s="12">
        <v>1.35186011023175E-3</v>
      </c>
      <c r="F526" s="8" t="s">
        <v>9454</v>
      </c>
      <c r="G526" s="12" t="s">
        <v>19164</v>
      </c>
      <c r="H526" s="12">
        <v>1</v>
      </c>
      <c r="I526" s="13" t="str">
        <f>HYPERLINK("http://www.ncbi.nlm.nih.gov/gene/389158", "389158")</f>
        <v>389158</v>
      </c>
      <c r="J526" s="13" t="str">
        <f>HYPERLINK("http://www.ncbi.nlm.nih.gov/nuccore/NM_001085420", "NM_001085420")</f>
        <v>NM_001085420</v>
      </c>
      <c r="K526" s="12" t="s">
        <v>9455</v>
      </c>
      <c r="L526" s="13" t="str">
        <f>HYPERLINK("http://asia.ensembl.org/Homo_sapiens/Gene/Summary?g=ENSG00000231213", "ENSG00000231213")</f>
        <v>ENSG00000231213</v>
      </c>
      <c r="M526" s="12" t="s">
        <v>19165</v>
      </c>
      <c r="N526" s="12" t="s">
        <v>19166</v>
      </c>
    </row>
    <row r="527" spans="1:14">
      <c r="A527" s="12" t="s">
        <v>9530</v>
      </c>
      <c r="B527" s="8">
        <v>2653.9419637481801</v>
      </c>
      <c r="C527" s="12">
        <v>7036.8013350985902</v>
      </c>
      <c r="D527" s="8">
        <v>-1.4067829607493501</v>
      </c>
      <c r="E527" s="12">
        <v>4.90335290344753E-3</v>
      </c>
      <c r="F527" s="8" t="s">
        <v>9531</v>
      </c>
      <c r="G527" s="12" t="s">
        <v>9532</v>
      </c>
      <c r="H527" s="12">
        <v>1</v>
      </c>
      <c r="I527" s="13" t="str">
        <f>HYPERLINK("http://www.ncbi.nlm.nih.gov/gene/91978", "91978")</f>
        <v>91978</v>
      </c>
      <c r="J527" s="13" t="str">
        <f>HYPERLINK("http://www.ncbi.nlm.nih.gov/nuccore/NM_033513", "NM_033513")</f>
        <v>NM_033513</v>
      </c>
      <c r="K527" s="12" t="s">
        <v>9533</v>
      </c>
      <c r="L527" s="13" t="str">
        <f>HYPERLINK("http://asia.ensembl.org/Homo_sapiens/Gene/Summary?g=ENSG00000141933", "ENSG00000141933")</f>
        <v>ENSG00000141933</v>
      </c>
      <c r="M527" s="12" t="s">
        <v>19182</v>
      </c>
      <c r="N527" s="12" t="s">
        <v>9534</v>
      </c>
    </row>
    <row r="528" spans="1:14">
      <c r="A528" s="12" t="s">
        <v>3510</v>
      </c>
      <c r="B528" s="8">
        <v>234.648562085592</v>
      </c>
      <c r="C528" s="12">
        <v>621.87840538139005</v>
      </c>
      <c r="D528" s="8">
        <v>-1.40613090107417</v>
      </c>
      <c r="E528" s="12">
        <v>7.4856215407546401E-4</v>
      </c>
      <c r="F528" s="8" t="s">
        <v>3511</v>
      </c>
      <c r="G528" s="12" t="s">
        <v>3512</v>
      </c>
      <c r="H528" s="12">
        <v>1</v>
      </c>
      <c r="I528" s="13" t="str">
        <f>HYPERLINK("http://www.ncbi.nlm.nih.gov/gene/27297", "27297")</f>
        <v>27297</v>
      </c>
      <c r="J528" s="12" t="s">
        <v>17326</v>
      </c>
      <c r="K528" s="12" t="s">
        <v>17327</v>
      </c>
      <c r="L528" s="13" t="str">
        <f>HYPERLINK("http://asia.ensembl.org/Homo_sapiens/Gene/Summary?g=ENSG00000241258", "ENSG00000241258")</f>
        <v>ENSG00000241258</v>
      </c>
      <c r="M528" s="12" t="s">
        <v>17328</v>
      </c>
      <c r="N528" s="12" t="s">
        <v>17329</v>
      </c>
    </row>
    <row r="529" spans="1:14">
      <c r="A529" s="12" t="s">
        <v>2527</v>
      </c>
      <c r="B529" s="8">
        <v>1148.0796380941799</v>
      </c>
      <c r="C529" s="12">
        <v>3042.3851565227401</v>
      </c>
      <c r="D529" s="8">
        <v>-1.40598008536687</v>
      </c>
      <c r="E529" s="12">
        <v>1.93945076782454E-3</v>
      </c>
      <c r="F529" s="8" t="s">
        <v>2528</v>
      </c>
      <c r="G529" s="12" t="s">
        <v>12352</v>
      </c>
      <c r="H529" s="12">
        <v>1</v>
      </c>
      <c r="I529" s="13" t="str">
        <f>HYPERLINK("http://www.ncbi.nlm.nih.gov/gene/215", "215")</f>
        <v>215</v>
      </c>
      <c r="J529" s="13" t="str">
        <f>HYPERLINK("http://www.ncbi.nlm.nih.gov/nuccore/NM_000033", "NM_000033")</f>
        <v>NM_000033</v>
      </c>
      <c r="K529" s="12" t="s">
        <v>2529</v>
      </c>
      <c r="L529" s="13" t="str">
        <f>HYPERLINK("http://asia.ensembl.org/Homo_sapiens/Gene/Summary?g=ENSG00000101986", "ENSG00000101986")</f>
        <v>ENSG00000101986</v>
      </c>
      <c r="M529" s="12" t="s">
        <v>17021</v>
      </c>
      <c r="N529" s="12" t="s">
        <v>17022</v>
      </c>
    </row>
    <row r="530" spans="1:14">
      <c r="A530" s="12" t="s">
        <v>10603</v>
      </c>
      <c r="B530" s="8">
        <v>632.12560069219899</v>
      </c>
      <c r="C530" s="12">
        <v>1675.0932615955501</v>
      </c>
      <c r="D530" s="8">
        <v>-1.4059582711024401</v>
      </c>
      <c r="E530" s="12">
        <v>1.04668487327476E-3</v>
      </c>
      <c r="F530" s="8" t="s">
        <v>6818</v>
      </c>
      <c r="G530" s="12" t="s">
        <v>19797</v>
      </c>
      <c r="H530" s="12">
        <v>1</v>
      </c>
      <c r="I530" s="13" t="str">
        <f>HYPERLINK("http://www.ncbi.nlm.nih.gov/gene/283576", "283576")</f>
        <v>283576</v>
      </c>
      <c r="J530" s="13" t="str">
        <f>HYPERLINK("http://www.ncbi.nlm.nih.gov/nuccore/NM_174976", "NM_174976")</f>
        <v>NM_174976</v>
      </c>
      <c r="K530" s="12" t="s">
        <v>6819</v>
      </c>
      <c r="L530" s="13" t="str">
        <f>HYPERLINK("http://asia.ensembl.org/Homo_sapiens/Gene/Summary?g=ENSG00000177108", "ENSG00000177108")</f>
        <v>ENSG00000177108</v>
      </c>
      <c r="M530" s="12" t="s">
        <v>19798</v>
      </c>
      <c r="N530" s="12" t="s">
        <v>19799</v>
      </c>
    </row>
    <row r="531" spans="1:14">
      <c r="A531" s="12" t="s">
        <v>9686</v>
      </c>
      <c r="B531" s="8">
        <v>58490.859012630397</v>
      </c>
      <c r="C531" s="12">
        <v>154914.978890564</v>
      </c>
      <c r="D531" s="8">
        <v>-1.40519356439943</v>
      </c>
      <c r="E531" s="12">
        <v>5.5065116562242602E-3</v>
      </c>
      <c r="F531" s="8" t="s">
        <v>9687</v>
      </c>
      <c r="G531" s="12" t="s">
        <v>9688</v>
      </c>
      <c r="H531" s="12">
        <v>1</v>
      </c>
      <c r="I531" s="13" t="str">
        <f>HYPERLINK("http://www.ncbi.nlm.nih.gov/gene/6233", "6233")</f>
        <v>6233</v>
      </c>
      <c r="J531" s="13" t="str">
        <f>HYPERLINK("http://www.ncbi.nlm.nih.gov/nuccore/NM_002954", "NM_002954")</f>
        <v>NM_002954</v>
      </c>
      <c r="K531" s="12" t="s">
        <v>9689</v>
      </c>
      <c r="L531" s="13" t="str">
        <f>HYPERLINK("http://asia.ensembl.org/Homo_sapiens/Gene/Summary?g=ENSG00000143947", "ENSG00000143947")</f>
        <v>ENSG00000143947</v>
      </c>
      <c r="M531" s="12" t="s">
        <v>19257</v>
      </c>
      <c r="N531" s="12" t="s">
        <v>19258</v>
      </c>
    </row>
    <row r="532" spans="1:14">
      <c r="A532" s="12" t="s">
        <v>6392</v>
      </c>
      <c r="B532" s="8">
        <v>31044.556771570999</v>
      </c>
      <c r="C532" s="12">
        <v>82208.571990980694</v>
      </c>
      <c r="D532" s="8">
        <v>-1.40494849913238</v>
      </c>
      <c r="E532" s="12">
        <v>2.95668217122837E-3</v>
      </c>
      <c r="F532" s="8" t="s">
        <v>6393</v>
      </c>
      <c r="G532" s="12" t="s">
        <v>18146</v>
      </c>
      <c r="H532" s="12">
        <v>1</v>
      </c>
      <c r="I532" s="13" t="str">
        <f>HYPERLINK("http://www.ncbi.nlm.nih.gov/gene/90480", "90480")</f>
        <v>90480</v>
      </c>
      <c r="J532" s="13" t="str">
        <f>HYPERLINK("http://www.ncbi.nlm.nih.gov/nuccore/NM_052850", "NM_052850")</f>
        <v>NM_052850</v>
      </c>
      <c r="K532" s="12" t="s">
        <v>6394</v>
      </c>
      <c r="L532" s="13" t="str">
        <f>HYPERLINK("http://asia.ensembl.org/Homo_sapiens/Gene/Summary?g=ENSG00000179271", "ENSG00000179271")</f>
        <v>ENSG00000179271</v>
      </c>
      <c r="M532" s="12" t="s">
        <v>6395</v>
      </c>
      <c r="N532" s="12" t="s">
        <v>6396</v>
      </c>
    </row>
    <row r="533" spans="1:14">
      <c r="A533" s="12" t="s">
        <v>8884</v>
      </c>
      <c r="B533" s="8">
        <v>132785.56685960299</v>
      </c>
      <c r="C533" s="12">
        <v>350964.84392964997</v>
      </c>
      <c r="D533" s="8">
        <v>-1.4022281820003</v>
      </c>
      <c r="E533" s="12">
        <v>3.45673841327626E-3</v>
      </c>
      <c r="F533" s="8" t="s">
        <v>5615</v>
      </c>
      <c r="G533" s="12" t="s">
        <v>5616</v>
      </c>
      <c r="H533" s="12">
        <v>1</v>
      </c>
      <c r="I533" s="13" t="str">
        <f>HYPERLINK("http://www.ncbi.nlm.nih.gov/gene/6137", "6137")</f>
        <v>6137</v>
      </c>
      <c r="J533" s="12" t="s">
        <v>18988</v>
      </c>
      <c r="K533" s="12" t="s">
        <v>18989</v>
      </c>
      <c r="L533" s="13" t="str">
        <f>HYPERLINK("http://asia.ensembl.org/Homo_sapiens/Gene/Summary?g=ENSG00000167526", "ENSG00000167526")</f>
        <v>ENSG00000167526</v>
      </c>
      <c r="M533" s="12" t="s">
        <v>18990</v>
      </c>
      <c r="N533" s="12" t="s">
        <v>18991</v>
      </c>
    </row>
    <row r="534" spans="1:14">
      <c r="A534" s="12" t="s">
        <v>7952</v>
      </c>
      <c r="B534" s="8">
        <v>111754.862297461</v>
      </c>
      <c r="C534" s="12">
        <v>295097.00952782098</v>
      </c>
      <c r="D534" s="8">
        <v>-1.4008516983587</v>
      </c>
      <c r="E534" s="12">
        <v>4.2880368591202804E-3</v>
      </c>
      <c r="F534" s="8" t="s">
        <v>7953</v>
      </c>
      <c r="G534" s="12" t="s">
        <v>7954</v>
      </c>
      <c r="H534" s="12">
        <v>1</v>
      </c>
      <c r="I534" s="13" t="str">
        <f>HYPERLINK("http://www.ncbi.nlm.nih.gov/gene/6633", "6633")</f>
        <v>6633</v>
      </c>
      <c r="J534" s="12" t="s">
        <v>18685</v>
      </c>
      <c r="K534" s="12" t="s">
        <v>18686</v>
      </c>
      <c r="L534" s="13" t="str">
        <f>HYPERLINK("http://asia.ensembl.org/Homo_sapiens/Gene/Summary?g=ENSG00000125743", "ENSG00000125743")</f>
        <v>ENSG00000125743</v>
      </c>
      <c r="M534" s="12" t="s">
        <v>18687</v>
      </c>
      <c r="N534" s="12" t="s">
        <v>18688</v>
      </c>
    </row>
    <row r="535" spans="1:14">
      <c r="A535" s="12" t="s">
        <v>11696</v>
      </c>
      <c r="B535" s="8">
        <v>3798.4830708057598</v>
      </c>
      <c r="C535" s="12">
        <v>10029.6535097871</v>
      </c>
      <c r="D535" s="8">
        <v>-1.4007764701095999</v>
      </c>
      <c r="E535" s="12">
        <v>1.8349997954708E-3</v>
      </c>
      <c r="F535" s="8" t="s">
        <v>38</v>
      </c>
      <c r="G535" s="12" t="s">
        <v>38</v>
      </c>
      <c r="H535" s="12">
        <v>1</v>
      </c>
      <c r="I535" s="12" t="s">
        <v>38</v>
      </c>
      <c r="J535" s="12" t="s">
        <v>38</v>
      </c>
      <c r="K535" s="12" t="s">
        <v>38</v>
      </c>
      <c r="L535" s="12" t="s">
        <v>11697</v>
      </c>
      <c r="M535" s="12" t="s">
        <v>11698</v>
      </c>
      <c r="N535" s="12" t="s">
        <v>20183</v>
      </c>
    </row>
    <row r="536" spans="1:14">
      <c r="A536" s="12" t="s">
        <v>5357</v>
      </c>
      <c r="B536" s="8">
        <v>6994.5982631965198</v>
      </c>
      <c r="C536" s="12">
        <v>18468.756711613802</v>
      </c>
      <c r="D536" s="8">
        <v>-1.40077364630172</v>
      </c>
      <c r="E536" s="12">
        <v>4.2628184001665898E-3</v>
      </c>
      <c r="F536" s="8" t="s">
        <v>5358</v>
      </c>
      <c r="G536" s="12" t="s">
        <v>5359</v>
      </c>
      <c r="H536" s="12">
        <v>1</v>
      </c>
      <c r="I536" s="13" t="str">
        <f>HYPERLINK("http://www.ncbi.nlm.nih.gov/gene/6139", "6139")</f>
        <v>6139</v>
      </c>
      <c r="J536" s="12" t="s">
        <v>17861</v>
      </c>
      <c r="K536" s="12" t="s">
        <v>17862</v>
      </c>
      <c r="L536" s="13" t="str">
        <f>HYPERLINK("http://asia.ensembl.org/Homo_sapiens/Gene/Summary?g=ENSG00000265681", "ENSG00000265681")</f>
        <v>ENSG00000265681</v>
      </c>
      <c r="M536" s="12" t="s">
        <v>17863</v>
      </c>
      <c r="N536" s="12" t="s">
        <v>17864</v>
      </c>
    </row>
    <row r="537" spans="1:14">
      <c r="A537" s="12" t="s">
        <v>1898</v>
      </c>
      <c r="B537" s="8">
        <v>74.197324367427996</v>
      </c>
      <c r="C537" s="12">
        <v>195.76601954597899</v>
      </c>
      <c r="D537" s="8">
        <v>-1.3996913003596001</v>
      </c>
      <c r="E537" s="12">
        <v>8.0779777985399408E-3</v>
      </c>
      <c r="F537" s="8" t="s">
        <v>1899</v>
      </c>
      <c r="G537" s="12" t="s">
        <v>1900</v>
      </c>
      <c r="H537" s="12">
        <v>1</v>
      </c>
      <c r="I537" s="13" t="str">
        <f>HYPERLINK("http://www.ncbi.nlm.nih.gov/gene/56163", "56163")</f>
        <v>56163</v>
      </c>
      <c r="J537" s="12" t="s">
        <v>16830</v>
      </c>
      <c r="K537" s="12" t="s">
        <v>16831</v>
      </c>
      <c r="L537" s="13" t="str">
        <f>HYPERLINK("http://asia.ensembl.org/Homo_sapiens/Gene/Summary?g=ENSG00000132972", "ENSG00000132972")</f>
        <v>ENSG00000132972</v>
      </c>
      <c r="M537" s="12" t="s">
        <v>16832</v>
      </c>
      <c r="N537" s="12" t="s">
        <v>16833</v>
      </c>
    </row>
    <row r="538" spans="1:14">
      <c r="A538" s="12" t="s">
        <v>3934</v>
      </c>
      <c r="B538" s="8">
        <v>180.072868731272</v>
      </c>
      <c r="C538" s="12">
        <v>474.38831854122702</v>
      </c>
      <c r="D538" s="8">
        <v>-1.39748765578833</v>
      </c>
      <c r="E538" s="12">
        <v>1.3641093321869601E-3</v>
      </c>
      <c r="F538" s="8" t="s">
        <v>3935</v>
      </c>
      <c r="G538" s="12" t="s">
        <v>17479</v>
      </c>
      <c r="H538" s="12">
        <v>1</v>
      </c>
      <c r="I538" s="13" t="str">
        <f>HYPERLINK("http://www.ncbi.nlm.nih.gov/gene/441168", "441168")</f>
        <v>441168</v>
      </c>
      <c r="J538" s="13" t="str">
        <f>HYPERLINK("http://www.ncbi.nlm.nih.gov/nuccore/NM_001010919", "NM_001010919")</f>
        <v>NM_001010919</v>
      </c>
      <c r="K538" s="12" t="s">
        <v>3936</v>
      </c>
      <c r="L538" s="13" t="str">
        <f>HYPERLINK("http://asia.ensembl.org/Homo_sapiens/Gene/Summary?g=ENSG00000188820", "ENSG00000188820")</f>
        <v>ENSG00000188820</v>
      </c>
      <c r="M538" s="12" t="s">
        <v>17480</v>
      </c>
      <c r="N538" s="12" t="s">
        <v>17481</v>
      </c>
    </row>
    <row r="539" spans="1:14">
      <c r="A539" s="12" t="s">
        <v>7689</v>
      </c>
      <c r="B539" s="8">
        <v>10726.5740773943</v>
      </c>
      <c r="C539" s="12">
        <v>28254.619352296599</v>
      </c>
      <c r="D539" s="8">
        <v>-1.3972973808682501</v>
      </c>
      <c r="E539" s="12">
        <v>4.8347467258079597E-3</v>
      </c>
      <c r="F539" s="8" t="s">
        <v>3069</v>
      </c>
      <c r="G539" s="12" t="s">
        <v>3070</v>
      </c>
      <c r="H539" s="12">
        <v>1</v>
      </c>
      <c r="I539" s="13" t="str">
        <f>HYPERLINK("http://www.ncbi.nlm.nih.gov/gene/63931", "63931")</f>
        <v>63931</v>
      </c>
      <c r="J539" s="12" t="s">
        <v>18617</v>
      </c>
      <c r="K539" s="12" t="s">
        <v>18618</v>
      </c>
      <c r="L539" s="13" t="str">
        <f>HYPERLINK("http://asia.ensembl.org/Homo_sapiens/Gene/Summary?g=ENSG00000120333", "ENSG00000120333")</f>
        <v>ENSG00000120333</v>
      </c>
      <c r="M539" s="12" t="s">
        <v>18619</v>
      </c>
      <c r="N539" s="12" t="s">
        <v>18620</v>
      </c>
    </row>
    <row r="540" spans="1:14">
      <c r="A540" s="12" t="s">
        <v>8402</v>
      </c>
      <c r="B540" s="8">
        <v>2326.9362465828899</v>
      </c>
      <c r="C540" s="12">
        <v>6129.3212131796299</v>
      </c>
      <c r="D540" s="8">
        <v>-1.39729562832827</v>
      </c>
      <c r="E540" s="12">
        <v>2.8794329788204599E-3</v>
      </c>
      <c r="F540" s="8" t="s">
        <v>1696</v>
      </c>
      <c r="G540" s="12" t="s">
        <v>18815</v>
      </c>
      <c r="H540" s="12">
        <v>1</v>
      </c>
      <c r="I540" s="13" t="str">
        <f>HYPERLINK("http://www.ncbi.nlm.nih.gov/gene/1069", "1069")</f>
        <v>1069</v>
      </c>
      <c r="J540" s="13" t="str">
        <f>HYPERLINK("http://www.ncbi.nlm.nih.gov/nuccore/NM_004344", "NM_004344")</f>
        <v>NM_004344</v>
      </c>
      <c r="K540" s="12" t="s">
        <v>1697</v>
      </c>
      <c r="L540" s="13" t="str">
        <f>HYPERLINK("http://asia.ensembl.org/Homo_sapiens/Gene/Summary?g=ENSG00000147400", "ENSG00000147400")</f>
        <v>ENSG00000147400</v>
      </c>
      <c r="M540" s="12" t="s">
        <v>18816</v>
      </c>
      <c r="N540" s="12" t="s">
        <v>1698</v>
      </c>
    </row>
    <row r="541" spans="1:14">
      <c r="A541" s="12" t="s">
        <v>5634</v>
      </c>
      <c r="B541" s="8">
        <v>95.739266163352596</v>
      </c>
      <c r="C541" s="12">
        <v>252.00636348107699</v>
      </c>
      <c r="D541" s="8">
        <v>-1.39627751104121</v>
      </c>
      <c r="E541" s="12">
        <v>3.5429683415099402E-3</v>
      </c>
      <c r="F541" s="8" t="s">
        <v>5635</v>
      </c>
      <c r="G541" s="12" t="s">
        <v>5636</v>
      </c>
      <c r="H541" s="12">
        <v>1</v>
      </c>
      <c r="I541" s="13" t="str">
        <f>HYPERLINK("http://www.ncbi.nlm.nih.gov/gene/8631", "8631")</f>
        <v>8631</v>
      </c>
      <c r="J541" s="12" t="s">
        <v>17922</v>
      </c>
      <c r="K541" s="12" t="s">
        <v>17923</v>
      </c>
      <c r="L541" s="13" t="str">
        <f>HYPERLINK("http://asia.ensembl.org/Homo_sapiens/Gene/Summary?g=ENSG00000141293", "ENSG00000141293")</f>
        <v>ENSG00000141293</v>
      </c>
      <c r="M541" s="12" t="s">
        <v>17924</v>
      </c>
      <c r="N541" s="12" t="s">
        <v>17925</v>
      </c>
    </row>
    <row r="542" spans="1:14">
      <c r="A542" s="12" t="s">
        <v>10272</v>
      </c>
      <c r="B542" s="8">
        <v>1865.2454584500999</v>
      </c>
      <c r="C542" s="12">
        <v>4908.5596497181596</v>
      </c>
      <c r="D542" s="8">
        <v>-1.39593425177138</v>
      </c>
      <c r="E542" s="12">
        <v>4.6588380520633304E-3</v>
      </c>
      <c r="F542" s="8" t="s">
        <v>1956</v>
      </c>
      <c r="G542" s="12" t="s">
        <v>16854</v>
      </c>
      <c r="H542" s="12">
        <v>1</v>
      </c>
      <c r="I542" s="13" t="str">
        <f>HYPERLINK("http://www.ncbi.nlm.nih.gov/gene/5947", "5947")</f>
        <v>5947</v>
      </c>
      <c r="J542" s="12" t="s">
        <v>19643</v>
      </c>
      <c r="K542" s="12" t="s">
        <v>19644</v>
      </c>
      <c r="L542" s="13" t="str">
        <f>HYPERLINK("http://asia.ensembl.org/Homo_sapiens/Gene/Summary?g=ENSG00000114115", "ENSG00000114115")</f>
        <v>ENSG00000114115</v>
      </c>
      <c r="M542" s="12" t="s">
        <v>16855</v>
      </c>
      <c r="N542" s="12" t="s">
        <v>16856</v>
      </c>
    </row>
    <row r="543" spans="1:14">
      <c r="A543" s="12" t="s">
        <v>6444</v>
      </c>
      <c r="B543" s="8">
        <v>541.782013427984</v>
      </c>
      <c r="C543" s="12">
        <v>1425.0802764474299</v>
      </c>
      <c r="D543" s="8">
        <v>-1.3952587867287201</v>
      </c>
      <c r="E543" s="12">
        <v>5.6772262775298197E-4</v>
      </c>
      <c r="F543" s="8" t="s">
        <v>6445</v>
      </c>
      <c r="G543" s="12" t="s">
        <v>18168</v>
      </c>
      <c r="H543" s="12">
        <v>1</v>
      </c>
      <c r="I543" s="13" t="str">
        <f>HYPERLINK("http://www.ncbi.nlm.nih.gov/gene/51106", "51106")</f>
        <v>51106</v>
      </c>
      <c r="J543" s="13" t="str">
        <f>HYPERLINK("http://www.ncbi.nlm.nih.gov/nuccore/NM_016020", "NM_016020")</f>
        <v>NM_016020</v>
      </c>
      <c r="K543" s="12" t="s">
        <v>6446</v>
      </c>
      <c r="L543" s="13" t="str">
        <f>HYPERLINK("http://asia.ensembl.org/Homo_sapiens/Gene/Summary?g=ENSG00000029639", "ENSG00000029639")</f>
        <v>ENSG00000029639</v>
      </c>
      <c r="M543" s="12" t="s">
        <v>18169</v>
      </c>
      <c r="N543" s="12" t="s">
        <v>6447</v>
      </c>
    </row>
    <row r="544" spans="1:14">
      <c r="A544" s="12" t="s">
        <v>8331</v>
      </c>
      <c r="B544" s="8">
        <v>5232.6248725136702</v>
      </c>
      <c r="C544" s="12">
        <v>13762.6789767563</v>
      </c>
      <c r="D544" s="8">
        <v>-1.3951545846420601</v>
      </c>
      <c r="E544" s="12">
        <v>1.7781043151616899E-3</v>
      </c>
      <c r="F544" s="8" t="s">
        <v>8332</v>
      </c>
      <c r="G544" s="12" t="s">
        <v>8333</v>
      </c>
      <c r="H544" s="12">
        <v>1</v>
      </c>
      <c r="I544" s="13" t="str">
        <f>HYPERLINK("http://www.ncbi.nlm.nih.gov/gene/1466", "1466")</f>
        <v>1466</v>
      </c>
      <c r="J544" s="13" t="str">
        <f>HYPERLINK("http://www.ncbi.nlm.nih.gov/nuccore/NM_001321", "NM_001321")</f>
        <v>NM_001321</v>
      </c>
      <c r="K544" s="12" t="s">
        <v>8334</v>
      </c>
      <c r="L544" s="13" t="str">
        <f>HYPERLINK("http://asia.ensembl.org/Homo_sapiens/Gene/Summary?g=ENSG00000175183", "ENSG00000175183")</f>
        <v>ENSG00000175183</v>
      </c>
      <c r="M544" s="12" t="s">
        <v>18796</v>
      </c>
      <c r="N544" s="12" t="s">
        <v>18797</v>
      </c>
    </row>
    <row r="545" spans="1:14">
      <c r="A545" s="12" t="s">
        <v>6345</v>
      </c>
      <c r="B545" s="8">
        <v>5580.7696063334897</v>
      </c>
      <c r="C545" s="12">
        <v>14668.679231660801</v>
      </c>
      <c r="D545" s="8">
        <v>-1.3942029833134799</v>
      </c>
      <c r="E545" s="12">
        <v>4.6929319826402799E-3</v>
      </c>
      <c r="F545" s="8" t="s">
        <v>6346</v>
      </c>
      <c r="G545" s="12" t="s">
        <v>6347</v>
      </c>
      <c r="H545" s="12">
        <v>1</v>
      </c>
      <c r="I545" s="13" t="str">
        <f>HYPERLINK("http://www.ncbi.nlm.nih.gov/gene/83547", "83547")</f>
        <v>83547</v>
      </c>
      <c r="J545" s="13" t="str">
        <f>HYPERLINK("http://www.ncbi.nlm.nih.gov/nuccore/NM_031430", "NM_031430")</f>
        <v>NM_031430</v>
      </c>
      <c r="K545" s="12" t="s">
        <v>6348</v>
      </c>
      <c r="L545" s="13" t="str">
        <f>HYPERLINK("http://asia.ensembl.org/Homo_sapiens/Gene/Summary?g=ENSG00000167705", "ENSG00000167705")</f>
        <v>ENSG00000167705</v>
      </c>
      <c r="M545" s="12" t="s">
        <v>18129</v>
      </c>
      <c r="N545" s="12" t="s">
        <v>18130</v>
      </c>
    </row>
    <row r="546" spans="1:14">
      <c r="A546" s="12" t="s">
        <v>9805</v>
      </c>
      <c r="B546" s="8">
        <v>2298.9073402531999</v>
      </c>
      <c r="C546" s="12">
        <v>6041.0874667808002</v>
      </c>
      <c r="D546" s="8">
        <v>-1.39385995703035</v>
      </c>
      <c r="E546" s="12">
        <v>1.02091362065865E-2</v>
      </c>
      <c r="F546" s="8" t="s">
        <v>9806</v>
      </c>
      <c r="G546" s="12" t="s">
        <v>9807</v>
      </c>
      <c r="H546" s="12">
        <v>1</v>
      </c>
      <c r="I546" s="13" t="str">
        <f>HYPERLINK("http://www.ncbi.nlm.nih.gov/gene/342918", "342918")</f>
        <v>342918</v>
      </c>
      <c r="J546" s="13" t="str">
        <f>HYPERLINK("http://www.ncbi.nlm.nih.gov/nuccore/NM_001195076", "NM_001195076")</f>
        <v>NM_001195076</v>
      </c>
      <c r="K546" s="12" t="s">
        <v>9808</v>
      </c>
      <c r="L546" s="13" t="str">
        <f>HYPERLINK("http://asia.ensembl.org/Homo_sapiens/Gene/Summary?g=ENSG00000235034", "ENSG00000235034")</f>
        <v>ENSG00000235034</v>
      </c>
      <c r="M546" s="12" t="s">
        <v>19344</v>
      </c>
      <c r="N546" s="12" t="s">
        <v>19345</v>
      </c>
    </row>
    <row r="547" spans="1:14">
      <c r="A547" s="12" t="s">
        <v>3414</v>
      </c>
      <c r="B547" s="8">
        <v>13547.385182656</v>
      </c>
      <c r="C547" s="12">
        <v>35592.806235042503</v>
      </c>
      <c r="D547" s="8">
        <v>-1.3935712634006101</v>
      </c>
      <c r="E547" s="12">
        <v>1.1887700049986599E-2</v>
      </c>
      <c r="F547" s="8" t="s">
        <v>3415</v>
      </c>
      <c r="G547" s="12" t="s">
        <v>3416</v>
      </c>
      <c r="H547" s="12">
        <v>1</v>
      </c>
      <c r="I547" s="13" t="str">
        <f>HYPERLINK("http://www.ncbi.nlm.nih.gov/gene/117153", "117153")</f>
        <v>117153</v>
      </c>
      <c r="J547" s="13" t="str">
        <f>HYPERLINK("http://www.ncbi.nlm.nih.gov/nuccore/NM_054024", "NM_054024")</f>
        <v>NM_054024</v>
      </c>
      <c r="K547" s="12" t="s">
        <v>3417</v>
      </c>
      <c r="L547" s="13" t="str">
        <f>HYPERLINK("http://asia.ensembl.org/Homo_sapiens/Gene/Summary?g=ENSG00000150526", "ENSG00000150526")</f>
        <v>ENSG00000150526</v>
      </c>
      <c r="M547" s="12" t="s">
        <v>17300</v>
      </c>
      <c r="N547" s="12" t="s">
        <v>17301</v>
      </c>
    </row>
    <row r="548" spans="1:14">
      <c r="A548" s="12" t="s">
        <v>6466</v>
      </c>
      <c r="B548" s="8">
        <v>3156.80923494852</v>
      </c>
      <c r="C548" s="12">
        <v>8291.8176036903606</v>
      </c>
      <c r="D548" s="8">
        <v>-1.3932212999761999</v>
      </c>
      <c r="E548" s="12">
        <v>3.8834898350122399E-3</v>
      </c>
      <c r="F548" s="8" t="s">
        <v>6467</v>
      </c>
      <c r="G548" s="12" t="s">
        <v>6468</v>
      </c>
      <c r="H548" s="12">
        <v>1</v>
      </c>
      <c r="I548" s="13" t="str">
        <f>HYPERLINK("http://www.ncbi.nlm.nih.gov/gene/4237", "4237")</f>
        <v>4237</v>
      </c>
      <c r="J548" s="12" t="s">
        <v>18177</v>
      </c>
      <c r="K548" s="12" t="s">
        <v>18178</v>
      </c>
      <c r="L548" s="13" t="str">
        <f>HYPERLINK("http://asia.ensembl.org/Homo_sapiens/Gene/Summary?g=ENSG00000117122", "ENSG00000117122")</f>
        <v>ENSG00000117122</v>
      </c>
      <c r="M548" s="12" t="s">
        <v>18179</v>
      </c>
      <c r="N548" s="12" t="s">
        <v>18180</v>
      </c>
    </row>
    <row r="549" spans="1:14">
      <c r="A549" s="12" t="s">
        <v>9055</v>
      </c>
      <c r="B549" s="8">
        <v>552.39110900816604</v>
      </c>
      <c r="C549" s="12">
        <v>1450.6260254463</v>
      </c>
      <c r="D549" s="8">
        <v>-1.39291363336226</v>
      </c>
      <c r="E549" s="12">
        <v>4.6683173627312799E-3</v>
      </c>
      <c r="F549" s="8" t="s">
        <v>9056</v>
      </c>
      <c r="G549" s="12" t="s">
        <v>19052</v>
      </c>
      <c r="H549" s="12">
        <v>1</v>
      </c>
      <c r="I549" s="13" t="str">
        <f>HYPERLINK("http://www.ncbi.nlm.nih.gov/gene/8175", "8175")</f>
        <v>8175</v>
      </c>
      <c r="J549" s="13" t="str">
        <f>HYPERLINK("http://www.ncbi.nlm.nih.gov/nuccore/NM_007165", "NM_007165")</f>
        <v>NM_007165</v>
      </c>
      <c r="K549" s="12" t="s">
        <v>9057</v>
      </c>
      <c r="L549" s="13" t="str">
        <f>HYPERLINK("http://asia.ensembl.org/Homo_sapiens/Gene/Summary?g=ENSG00000104897", "ENSG00000104897")</f>
        <v>ENSG00000104897</v>
      </c>
      <c r="M549" s="12" t="s">
        <v>19053</v>
      </c>
      <c r="N549" s="12" t="s">
        <v>19054</v>
      </c>
    </row>
    <row r="550" spans="1:14">
      <c r="A550" s="12" t="s">
        <v>9700</v>
      </c>
      <c r="B550" s="8">
        <v>464.17472997825598</v>
      </c>
      <c r="C550" s="12">
        <v>1218.9466339765099</v>
      </c>
      <c r="D550" s="8">
        <v>-1.39289507698412</v>
      </c>
      <c r="E550" s="12">
        <v>1.14858106165539E-4</v>
      </c>
      <c r="F550" s="8" t="s">
        <v>9701</v>
      </c>
      <c r="G550" s="12" t="s">
        <v>9702</v>
      </c>
      <c r="H550" s="12">
        <v>1</v>
      </c>
      <c r="I550" s="13" t="str">
        <f>HYPERLINK("http://www.ncbi.nlm.nih.gov/gene/6876", "6876")</f>
        <v>6876</v>
      </c>
      <c r="J550" s="12" t="s">
        <v>19267</v>
      </c>
      <c r="K550" s="12" t="s">
        <v>19268</v>
      </c>
      <c r="L550" s="13" t="str">
        <f>HYPERLINK("http://asia.ensembl.org/Homo_sapiens/Gene/Summary?g=ENSG00000149591", "ENSG00000149591")</f>
        <v>ENSG00000149591</v>
      </c>
      <c r="M550" s="12" t="s">
        <v>19269</v>
      </c>
      <c r="N550" s="12" t="s">
        <v>19270</v>
      </c>
    </row>
    <row r="551" spans="1:14">
      <c r="A551" s="12" t="s">
        <v>5938</v>
      </c>
      <c r="B551" s="8">
        <v>16081.687816313201</v>
      </c>
      <c r="C551" s="12">
        <v>42231.175162241198</v>
      </c>
      <c r="D551" s="8">
        <v>-1.39288956423211</v>
      </c>
      <c r="E551" s="12">
        <v>2.5631692794684099E-3</v>
      </c>
      <c r="F551" s="8" t="s">
        <v>5939</v>
      </c>
      <c r="G551" s="12" t="s">
        <v>5940</v>
      </c>
      <c r="H551" s="12">
        <v>1</v>
      </c>
      <c r="I551" s="13" t="str">
        <f>HYPERLINK("http://www.ncbi.nlm.nih.gov/gene/1153", "1153")</f>
        <v>1153</v>
      </c>
      <c r="J551" s="13" t="str">
        <f>HYPERLINK("http://www.ncbi.nlm.nih.gov/nuccore/NM_001280", "NM_001280")</f>
        <v>NM_001280</v>
      </c>
      <c r="K551" s="12" t="s">
        <v>5941</v>
      </c>
      <c r="L551" s="13" t="str">
        <f>HYPERLINK("http://asia.ensembl.org/Homo_sapiens/Gene/Summary?g=ENSG00000099622", "ENSG00000099622")</f>
        <v>ENSG00000099622</v>
      </c>
      <c r="M551" s="12" t="s">
        <v>18020</v>
      </c>
      <c r="N551" s="12" t="s">
        <v>18021</v>
      </c>
    </row>
    <row r="552" spans="1:14">
      <c r="A552" s="12" t="s">
        <v>8836</v>
      </c>
      <c r="B552" s="8">
        <v>28935.988286420401</v>
      </c>
      <c r="C552" s="12">
        <v>75965.677237004304</v>
      </c>
      <c r="D552" s="8">
        <v>-1.39248280914211</v>
      </c>
      <c r="E552" s="12">
        <v>1.5133191225001501E-2</v>
      </c>
      <c r="F552" s="8" t="s">
        <v>7196</v>
      </c>
      <c r="G552" s="12" t="s">
        <v>7197</v>
      </c>
      <c r="H552" s="12">
        <v>1</v>
      </c>
      <c r="I552" s="13" t="str">
        <f>HYPERLINK("http://www.ncbi.nlm.nih.gov/gene/6194", "6194")</f>
        <v>6194</v>
      </c>
      <c r="J552" s="13" t="str">
        <f>HYPERLINK("http://www.ncbi.nlm.nih.gov/nuccore/NM_001010", "NM_001010")</f>
        <v>NM_001010</v>
      </c>
      <c r="K552" s="12" t="s">
        <v>7198</v>
      </c>
      <c r="L552" s="13" t="str">
        <f>HYPERLINK("http://asia.ensembl.org/Homo_sapiens/Gene/Summary?g=ENSG00000137154", "ENSG00000137154")</f>
        <v>ENSG00000137154</v>
      </c>
      <c r="M552" s="12" t="s">
        <v>18411</v>
      </c>
      <c r="N552" s="12" t="s">
        <v>18412</v>
      </c>
    </row>
    <row r="553" spans="1:14">
      <c r="A553" s="12" t="s">
        <v>4111</v>
      </c>
      <c r="B553" s="8">
        <v>477.29253969083902</v>
      </c>
      <c r="C553" s="12">
        <v>1252.47950240402</v>
      </c>
      <c r="D553" s="8">
        <v>-1.39184130135357</v>
      </c>
      <c r="E553" s="12">
        <v>2.7378010137958899E-2</v>
      </c>
      <c r="F553" s="8" t="s">
        <v>4112</v>
      </c>
      <c r="G553" s="12" t="s">
        <v>4113</v>
      </c>
      <c r="H553" s="12">
        <v>1</v>
      </c>
      <c r="I553" s="13" t="str">
        <f>HYPERLINK("http://www.ncbi.nlm.nih.gov/gene/149840", "149840")</f>
        <v>149840</v>
      </c>
      <c r="J553" s="13" t="str">
        <f>HYPERLINK("http://www.ncbi.nlm.nih.gov/nuccore/NM_152504", "NM_152504")</f>
        <v>NM_152504</v>
      </c>
      <c r="K553" s="12" t="s">
        <v>4114</v>
      </c>
      <c r="L553" s="13" t="str">
        <f>HYPERLINK("http://asia.ensembl.org/Homo_sapiens/Gene/Summary?g=ENSG00000171984", "ENSG00000171984")</f>
        <v>ENSG00000171984</v>
      </c>
      <c r="M553" s="12" t="s">
        <v>17565</v>
      </c>
      <c r="N553" s="12" t="s">
        <v>17566</v>
      </c>
    </row>
    <row r="554" spans="1:14">
      <c r="A554" s="12" t="s">
        <v>6778</v>
      </c>
      <c r="B554" s="8">
        <v>49.999999999999901</v>
      </c>
      <c r="C554" s="12">
        <v>131.16160981860099</v>
      </c>
      <c r="D554" s="8">
        <v>-1.3913455139422699</v>
      </c>
      <c r="E554" s="12">
        <v>2.63710497717179E-4</v>
      </c>
      <c r="F554" s="8" t="s">
        <v>4297</v>
      </c>
      <c r="G554" s="12" t="s">
        <v>4298</v>
      </c>
      <c r="H554" s="12">
        <v>1</v>
      </c>
      <c r="I554" s="13" t="str">
        <f>HYPERLINK("http://www.ncbi.nlm.nih.gov/gene/285600", "285600")</f>
        <v>285600</v>
      </c>
      <c r="J554" s="12" t="s">
        <v>18261</v>
      </c>
      <c r="K554" s="12" t="s">
        <v>18262</v>
      </c>
      <c r="L554" s="13" t="str">
        <f>HYPERLINK("http://asia.ensembl.org/Homo_sapiens/Gene/Summary?g=ENSG00000185261", "ENSG00000185261")</f>
        <v>ENSG00000185261</v>
      </c>
      <c r="M554" s="12" t="s">
        <v>18263</v>
      </c>
      <c r="N554" s="12" t="s">
        <v>18264</v>
      </c>
    </row>
    <row r="555" spans="1:14">
      <c r="A555" s="12" t="s">
        <v>9741</v>
      </c>
      <c r="B555" s="8">
        <v>2191.1073726478899</v>
      </c>
      <c r="C555" s="12">
        <v>5745.1516910265</v>
      </c>
      <c r="D555" s="8">
        <v>-1.3906848016605899</v>
      </c>
      <c r="E555" s="12">
        <v>8.5174664759515904E-4</v>
      </c>
      <c r="F555" s="8" t="s">
        <v>9742</v>
      </c>
      <c r="G555" s="12" t="s">
        <v>19295</v>
      </c>
      <c r="H555" s="12">
        <v>1</v>
      </c>
      <c r="I555" s="13" t="str">
        <f>HYPERLINK("http://www.ncbi.nlm.nih.gov/gene/2495", "2495")</f>
        <v>2495</v>
      </c>
      <c r="J555" s="13" t="str">
        <f>HYPERLINK("http://www.ncbi.nlm.nih.gov/nuccore/NM_002032", "NM_002032")</f>
        <v>NM_002032</v>
      </c>
      <c r="K555" s="12" t="s">
        <v>9743</v>
      </c>
      <c r="L555" s="13" t="str">
        <f>HYPERLINK("http://asia.ensembl.org/Homo_sapiens/Gene/Summary?g=ENSG00000167996", "ENSG00000167996")</f>
        <v>ENSG00000167996</v>
      </c>
      <c r="M555" s="12" t="s">
        <v>19296</v>
      </c>
      <c r="N555" s="12" t="s">
        <v>19297</v>
      </c>
    </row>
    <row r="556" spans="1:14">
      <c r="A556" s="12" t="s">
        <v>4204</v>
      </c>
      <c r="B556" s="8">
        <v>12454.0516347866</v>
      </c>
      <c r="C556" s="12">
        <v>32639.390940831199</v>
      </c>
      <c r="D556" s="8">
        <v>-1.3899989707243099</v>
      </c>
      <c r="E556" s="12">
        <v>3.6235331311860902E-3</v>
      </c>
      <c r="F556" s="8" t="s">
        <v>4205</v>
      </c>
      <c r="G556" s="12" t="s">
        <v>15570</v>
      </c>
      <c r="H556" s="12">
        <v>1</v>
      </c>
      <c r="I556" s="13" t="str">
        <f>HYPERLINK("http://www.ncbi.nlm.nih.gov/gene/5690", "5690")</f>
        <v>5690</v>
      </c>
      <c r="J556" s="13" t="str">
        <f>HYPERLINK("http://www.ncbi.nlm.nih.gov/nuccore/NM_002794", "NM_002794")</f>
        <v>NM_002794</v>
      </c>
      <c r="K556" s="12" t="s">
        <v>4206</v>
      </c>
      <c r="L556" s="13" t="str">
        <f>HYPERLINK("http://asia.ensembl.org/Homo_sapiens/Gene/Summary?g=ENSG00000126067", "ENSG00000126067")</f>
        <v>ENSG00000126067</v>
      </c>
      <c r="M556" s="12" t="s">
        <v>17612</v>
      </c>
      <c r="N556" s="12" t="s">
        <v>17613</v>
      </c>
    </row>
    <row r="557" spans="1:14">
      <c r="A557" s="12" t="s">
        <v>8442</v>
      </c>
      <c r="B557" s="8">
        <v>28251.6460580405</v>
      </c>
      <c r="C557" s="12">
        <v>74025.696704613598</v>
      </c>
      <c r="D557" s="8">
        <v>-1.3896912362487901</v>
      </c>
      <c r="E557" s="12">
        <v>7.3450246903496398E-3</v>
      </c>
      <c r="F557" s="8" t="s">
        <v>8443</v>
      </c>
      <c r="G557" s="12" t="s">
        <v>18833</v>
      </c>
      <c r="H557" s="12">
        <v>1</v>
      </c>
      <c r="I557" s="13" t="str">
        <f>HYPERLINK("http://www.ncbi.nlm.nih.gov/gene/3015", "3015")</f>
        <v>3015</v>
      </c>
      <c r="J557" s="13" t="str">
        <f>HYPERLINK("http://www.ncbi.nlm.nih.gov/nuccore/NM_002106", "NM_002106")</f>
        <v>NM_002106</v>
      </c>
      <c r="K557" s="12" t="s">
        <v>8444</v>
      </c>
      <c r="L557" s="13" t="str">
        <f>HYPERLINK("http://asia.ensembl.org/Homo_sapiens/Gene/Summary?g=ENSG00000164032", "ENSG00000164032")</f>
        <v>ENSG00000164032</v>
      </c>
      <c r="M557" s="12" t="s">
        <v>18834</v>
      </c>
      <c r="N557" s="12" t="s">
        <v>8445</v>
      </c>
    </row>
    <row r="558" spans="1:14">
      <c r="A558" s="12" t="s">
        <v>7123</v>
      </c>
      <c r="B558" s="8">
        <v>43012.279072182399</v>
      </c>
      <c r="C558" s="12">
        <v>112662.048142581</v>
      </c>
      <c r="D558" s="8">
        <v>-1.3891811225895401</v>
      </c>
      <c r="E558" s="12">
        <v>2.7498838585965401E-3</v>
      </c>
      <c r="F558" s="8" t="s">
        <v>7124</v>
      </c>
      <c r="G558" s="12" t="s">
        <v>7125</v>
      </c>
      <c r="H558" s="12">
        <v>1</v>
      </c>
      <c r="I558" s="13" t="str">
        <f>HYPERLINK("http://www.ncbi.nlm.nih.gov/gene/1345", "1345")</f>
        <v>1345</v>
      </c>
      <c r="J558" s="13" t="str">
        <f>HYPERLINK("http://www.ncbi.nlm.nih.gov/nuccore/NM_004374", "NM_004374")</f>
        <v>NM_004374</v>
      </c>
      <c r="K558" s="12" t="s">
        <v>7126</v>
      </c>
      <c r="L558" s="13" t="str">
        <f>HYPERLINK("http://asia.ensembl.org/Homo_sapiens/Gene/Summary?g=ENSG00000164919", "ENSG00000164919")</f>
        <v>ENSG00000164919</v>
      </c>
      <c r="M558" s="12" t="s">
        <v>18381</v>
      </c>
      <c r="N558" s="12" t="s">
        <v>18382</v>
      </c>
    </row>
    <row r="559" spans="1:14">
      <c r="A559" s="12" t="s">
        <v>840</v>
      </c>
      <c r="B559" s="8">
        <v>315.46656628263298</v>
      </c>
      <c r="C559" s="12">
        <v>826.15539629391003</v>
      </c>
      <c r="D559" s="8">
        <v>-1.38892605805203</v>
      </c>
      <c r="E559" s="12">
        <v>4.5321124258339996E-3</v>
      </c>
      <c r="F559" s="8" t="s">
        <v>841</v>
      </c>
      <c r="G559" s="12" t="s">
        <v>16452</v>
      </c>
      <c r="H559" s="12">
        <v>1</v>
      </c>
      <c r="I559" s="13" t="str">
        <f>HYPERLINK("http://www.ncbi.nlm.nih.gov/gene/3746", "3746")</f>
        <v>3746</v>
      </c>
      <c r="J559" s="13" t="str">
        <f>HYPERLINK("http://www.ncbi.nlm.nih.gov/nuccore/NM_004976", "NM_004976")</f>
        <v>NM_004976</v>
      </c>
      <c r="K559" s="12" t="s">
        <v>842</v>
      </c>
      <c r="L559" s="13" t="str">
        <f>HYPERLINK("http://asia.ensembl.org/Homo_sapiens/Gene/Summary?g=ENSG00000129159", "ENSG00000129159")</f>
        <v>ENSG00000129159</v>
      </c>
      <c r="M559" s="12" t="s">
        <v>16453</v>
      </c>
      <c r="N559" s="12" t="s">
        <v>16454</v>
      </c>
    </row>
    <row r="560" spans="1:14">
      <c r="A560" s="12" t="s">
        <v>2785</v>
      </c>
      <c r="B560" s="8">
        <v>16216.52912915</v>
      </c>
      <c r="C560" s="12">
        <v>42463.419128504902</v>
      </c>
      <c r="D560" s="8">
        <v>-1.38875547245772</v>
      </c>
      <c r="E560" s="12">
        <v>2.8860060517129902E-3</v>
      </c>
      <c r="F560" s="8" t="s">
        <v>2786</v>
      </c>
      <c r="G560" s="12" t="s">
        <v>2787</v>
      </c>
      <c r="H560" s="12">
        <v>4</v>
      </c>
      <c r="I560" s="12" t="s">
        <v>2788</v>
      </c>
      <c r="J560" s="12" t="s">
        <v>17114</v>
      </c>
      <c r="K560" s="12" t="s">
        <v>17115</v>
      </c>
      <c r="L560" s="12" t="s">
        <v>2789</v>
      </c>
      <c r="M560" s="12" t="s">
        <v>17116</v>
      </c>
      <c r="N560" s="12" t="s">
        <v>17117</v>
      </c>
    </row>
    <row r="561" spans="1:14">
      <c r="A561" s="12" t="s">
        <v>11458</v>
      </c>
      <c r="B561" s="8">
        <v>7153.7748117662404</v>
      </c>
      <c r="C561" s="12">
        <v>18730.395921064301</v>
      </c>
      <c r="D561" s="8">
        <v>-1.3886047847724201</v>
      </c>
      <c r="E561" s="12">
        <v>1.06644860431454E-3</v>
      </c>
      <c r="F561" s="8" t="s">
        <v>11459</v>
      </c>
      <c r="G561" s="12" t="s">
        <v>20112</v>
      </c>
      <c r="H561" s="12">
        <v>4</v>
      </c>
      <c r="I561" s="12" t="s">
        <v>11460</v>
      </c>
      <c r="J561" s="12" t="s">
        <v>11461</v>
      </c>
      <c r="K561" s="12" t="s">
        <v>11462</v>
      </c>
      <c r="L561" s="12" t="s">
        <v>10999</v>
      </c>
      <c r="M561" s="12" t="s">
        <v>11000</v>
      </c>
      <c r="N561" s="12" t="s">
        <v>11001</v>
      </c>
    </row>
    <row r="562" spans="1:14">
      <c r="A562" s="12" t="s">
        <v>8732</v>
      </c>
      <c r="B562" s="8">
        <v>12584.9148486304</v>
      </c>
      <c r="C562" s="12">
        <v>32938.280487547599</v>
      </c>
      <c r="D562" s="8">
        <v>-1.38806978742367</v>
      </c>
      <c r="E562" s="12">
        <v>5.2492224812599895E-4</v>
      </c>
      <c r="F562" s="8" t="s">
        <v>8733</v>
      </c>
      <c r="G562" s="12" t="s">
        <v>8734</v>
      </c>
      <c r="H562" s="12">
        <v>1</v>
      </c>
      <c r="I562" s="13" t="str">
        <f>HYPERLINK("http://www.ncbi.nlm.nih.gov/gene/6147", "6147")</f>
        <v>6147</v>
      </c>
      <c r="J562" s="13" t="str">
        <f>HYPERLINK("http://www.ncbi.nlm.nih.gov/nuccore/NM_000984", "NM_000984")</f>
        <v>NM_000984</v>
      </c>
      <c r="K562" s="12" t="s">
        <v>8735</v>
      </c>
      <c r="L562" s="13" t="str">
        <f>HYPERLINK("http://asia.ensembl.org/Homo_sapiens/Gene/Summary?g=ENSG00000198242", "ENSG00000198242")</f>
        <v>ENSG00000198242</v>
      </c>
      <c r="M562" s="12" t="s">
        <v>18952</v>
      </c>
      <c r="N562" s="12" t="s">
        <v>18953</v>
      </c>
    </row>
    <row r="563" spans="1:14">
      <c r="A563" s="12" t="s">
        <v>4390</v>
      </c>
      <c r="B563" s="8">
        <v>55859.9898815126</v>
      </c>
      <c r="C563" s="12">
        <v>146168.615583701</v>
      </c>
      <c r="D563" s="8">
        <v>-1.3877463606317799</v>
      </c>
      <c r="E563" s="12">
        <v>6.2158298142512604E-4</v>
      </c>
      <c r="F563" s="8" t="s">
        <v>4391</v>
      </c>
      <c r="G563" s="12" t="s">
        <v>286</v>
      </c>
      <c r="H563" s="12">
        <v>1</v>
      </c>
      <c r="I563" s="13" t="str">
        <f>HYPERLINK("http://www.ncbi.nlm.nih.gov/gene/4708", "4708")</f>
        <v>4708</v>
      </c>
      <c r="J563" s="13" t="str">
        <f>HYPERLINK("http://www.ncbi.nlm.nih.gov/nuccore/NM_004546", "NM_004546")</f>
        <v>NM_004546</v>
      </c>
      <c r="K563" s="12" t="s">
        <v>4392</v>
      </c>
      <c r="L563" s="13" t="str">
        <f>HYPERLINK("http://asia.ensembl.org/Homo_sapiens/Gene/Summary?g=ENSG00000090266", "ENSG00000090266")</f>
        <v>ENSG00000090266</v>
      </c>
      <c r="M563" s="12" t="s">
        <v>17678</v>
      </c>
      <c r="N563" s="12" t="s">
        <v>17679</v>
      </c>
    </row>
    <row r="564" spans="1:14">
      <c r="A564" s="12" t="s">
        <v>4207</v>
      </c>
      <c r="B564" s="8">
        <v>1921.4233770133601</v>
      </c>
      <c r="C564" s="12">
        <v>5025.3655800259403</v>
      </c>
      <c r="D564" s="8">
        <v>-1.3870531063696401</v>
      </c>
      <c r="E564" s="12">
        <v>4.04874952969758E-3</v>
      </c>
      <c r="F564" s="8" t="s">
        <v>4208</v>
      </c>
      <c r="G564" s="12" t="s">
        <v>4209</v>
      </c>
      <c r="H564" s="12">
        <v>1</v>
      </c>
      <c r="I564" s="13" t="str">
        <f>HYPERLINK("http://www.ncbi.nlm.nih.gov/gene/131616", "131616")</f>
        <v>131616</v>
      </c>
      <c r="J564" s="13" t="str">
        <f>HYPERLINK("http://www.ncbi.nlm.nih.gov/nuccore/NM_144638", "NM_144638")</f>
        <v>NM_144638</v>
      </c>
      <c r="K564" s="12" t="s">
        <v>4210</v>
      </c>
      <c r="L564" s="13" t="str">
        <f>HYPERLINK("http://asia.ensembl.org/Homo_sapiens/Gene/Summary?g=ENSG00000280516", "ENSG00000280516")</f>
        <v>ENSG00000280516</v>
      </c>
      <c r="M564" s="12" t="s">
        <v>17614</v>
      </c>
      <c r="N564" s="12" t="s">
        <v>4211</v>
      </c>
    </row>
    <row r="565" spans="1:14">
      <c r="A565" s="12" t="s">
        <v>11072</v>
      </c>
      <c r="B565" s="8">
        <v>906.73633813059598</v>
      </c>
      <c r="C565" s="12">
        <v>2371.0587573529701</v>
      </c>
      <c r="D565" s="8">
        <v>-1.38677640650787</v>
      </c>
      <c r="E565" s="12">
        <v>7.95579883901307E-4</v>
      </c>
      <c r="F565" s="8" t="s">
        <v>11073</v>
      </c>
      <c r="G565" s="12" t="s">
        <v>11074</v>
      </c>
      <c r="H565" s="12">
        <v>1</v>
      </c>
      <c r="I565" s="13" t="str">
        <f>HYPERLINK("http://www.ncbi.nlm.nih.gov/gene/145553", "145553")</f>
        <v>145553</v>
      </c>
      <c r="J565" s="13" t="str">
        <f>HYPERLINK("http://www.ncbi.nlm.nih.gov/nuccore/NM_001199822", "NM_001199822")</f>
        <v>NM_001199822</v>
      </c>
      <c r="K565" s="12" t="s">
        <v>11075</v>
      </c>
      <c r="L565" s="13" t="str">
        <f>HYPERLINK("http://asia.ensembl.org/Homo_sapiens/Gene/Summary?g=ENSG00000213920", "ENSG00000213920")</f>
        <v>ENSG00000213920</v>
      </c>
      <c r="M565" s="12" t="s">
        <v>17146</v>
      </c>
      <c r="N565" s="12" t="s">
        <v>17147</v>
      </c>
    </row>
    <row r="566" spans="1:14">
      <c r="A566" s="12" t="s">
        <v>5117</v>
      </c>
      <c r="B566" s="8">
        <v>326.477515471581</v>
      </c>
      <c r="C566" s="12">
        <v>853.59871268665995</v>
      </c>
      <c r="D566" s="8">
        <v>-1.3865743637451</v>
      </c>
      <c r="E566" s="12">
        <v>3.93452286224123E-3</v>
      </c>
      <c r="F566" s="8" t="s">
        <v>5118</v>
      </c>
      <c r="G566" s="12" t="s">
        <v>5119</v>
      </c>
      <c r="H566" s="12">
        <v>1</v>
      </c>
      <c r="I566" s="13" t="str">
        <f>HYPERLINK("http://www.ncbi.nlm.nih.gov/gene/114879", "114879")</f>
        <v>114879</v>
      </c>
      <c r="J566" s="12" t="s">
        <v>17799</v>
      </c>
      <c r="K566" s="12" t="s">
        <v>17800</v>
      </c>
      <c r="L566" s="13" t="str">
        <f>HYPERLINK("http://asia.ensembl.org/Homo_sapiens/Gene/Summary?g=ENSG00000021762", "ENSG00000021762")</f>
        <v>ENSG00000021762</v>
      </c>
      <c r="M566" s="12" t="s">
        <v>17801</v>
      </c>
      <c r="N566" s="12" t="s">
        <v>17802</v>
      </c>
    </row>
    <row r="567" spans="1:14">
      <c r="A567" s="12" t="s">
        <v>2973</v>
      </c>
      <c r="B567" s="8">
        <v>11478.8579831722</v>
      </c>
      <c r="C567" s="12">
        <v>30005.692636930398</v>
      </c>
      <c r="D567" s="8">
        <v>-1.3862571154423999</v>
      </c>
      <c r="E567" s="12">
        <v>2.39139630106664E-3</v>
      </c>
      <c r="F567" s="8" t="s">
        <v>2974</v>
      </c>
      <c r="G567" s="12" t="s">
        <v>286</v>
      </c>
      <c r="H567" s="12">
        <v>1</v>
      </c>
      <c r="I567" s="13" t="str">
        <f>HYPERLINK("http://www.ncbi.nlm.nih.gov/gene/4710", "4710")</f>
        <v>4710</v>
      </c>
      <c r="J567" s="13" t="str">
        <f>HYPERLINK("http://www.ncbi.nlm.nih.gov/nuccore/NM_004547", "NM_004547")</f>
        <v>NM_004547</v>
      </c>
      <c r="K567" s="12" t="s">
        <v>2975</v>
      </c>
      <c r="L567" s="13" t="str">
        <f>HYPERLINK("http://asia.ensembl.org/Homo_sapiens/Gene/Summary?g=ENSG00000065518", "ENSG00000065518")</f>
        <v>ENSG00000065518</v>
      </c>
      <c r="M567" s="12" t="s">
        <v>17157</v>
      </c>
      <c r="N567" s="12" t="s">
        <v>17158</v>
      </c>
    </row>
    <row r="568" spans="1:14">
      <c r="A568" s="12" t="s">
        <v>11099</v>
      </c>
      <c r="B568" s="8">
        <v>209451.20155234399</v>
      </c>
      <c r="C568" s="12">
        <v>547120.57663425396</v>
      </c>
      <c r="D568" s="8">
        <v>-1.3852446545036301</v>
      </c>
      <c r="E568" s="12">
        <v>6.9439484190630101E-3</v>
      </c>
      <c r="F568" s="8" t="s">
        <v>11100</v>
      </c>
      <c r="G568" s="12" t="s">
        <v>11101</v>
      </c>
      <c r="H568" s="12">
        <v>1</v>
      </c>
      <c r="I568" s="13" t="str">
        <f>HYPERLINK("http://www.ncbi.nlm.nih.gov/gene/6202", "6202")</f>
        <v>6202</v>
      </c>
      <c r="J568" s="13" t="str">
        <f>HYPERLINK("http://www.ncbi.nlm.nih.gov/nuccore/NM_001012", "NM_001012")</f>
        <v>NM_001012</v>
      </c>
      <c r="K568" s="12" t="s">
        <v>11102</v>
      </c>
      <c r="L568" s="13" t="str">
        <f>HYPERLINK("http://asia.ensembl.org/Homo_sapiens/Gene/Summary?g=ENSG00000142937", "ENSG00000142937")</f>
        <v>ENSG00000142937</v>
      </c>
      <c r="M568" s="12" t="s">
        <v>19962</v>
      </c>
      <c r="N568" s="12" t="s">
        <v>19963</v>
      </c>
    </row>
    <row r="569" spans="1:14">
      <c r="A569" s="12" t="s">
        <v>6200</v>
      </c>
      <c r="B569" s="8">
        <v>9667.4544253205295</v>
      </c>
      <c r="C569" s="12">
        <v>25231.526144785501</v>
      </c>
      <c r="D569" s="8">
        <v>-1.38401950804439</v>
      </c>
      <c r="E569" s="12">
        <v>3.8632669805813602E-3</v>
      </c>
      <c r="F569" s="8" t="s">
        <v>6201</v>
      </c>
      <c r="G569" s="12" t="s">
        <v>6202</v>
      </c>
      <c r="H569" s="12">
        <v>1</v>
      </c>
      <c r="I569" s="13" t="str">
        <f>HYPERLINK("http://www.ncbi.nlm.nih.gov/gene/55256", "55256")</f>
        <v>55256</v>
      </c>
      <c r="J569" s="13" t="str">
        <f>HYPERLINK("http://www.ncbi.nlm.nih.gov/nuccore/NM_018269", "NM_018269")</f>
        <v>NM_018269</v>
      </c>
      <c r="K569" s="12" t="s">
        <v>6203</v>
      </c>
      <c r="L569" s="13" t="str">
        <f>HYPERLINK("http://asia.ensembl.org/Homo_sapiens/Gene/Summary?g=ENSG00000182551", "ENSG00000182551")</f>
        <v>ENSG00000182551</v>
      </c>
      <c r="M569" s="12" t="s">
        <v>18082</v>
      </c>
      <c r="N569" s="12" t="s">
        <v>18083</v>
      </c>
    </row>
    <row r="570" spans="1:14">
      <c r="A570" s="12" t="s">
        <v>8119</v>
      </c>
      <c r="B570" s="8">
        <v>310.492098808778</v>
      </c>
      <c r="C570" s="12">
        <v>810.12970628236599</v>
      </c>
      <c r="D570" s="8">
        <v>-1.38359635381587</v>
      </c>
      <c r="E570" s="12">
        <v>4.6062866756023E-3</v>
      </c>
      <c r="F570" s="8" t="s">
        <v>8120</v>
      </c>
      <c r="G570" s="12" t="s">
        <v>18726</v>
      </c>
      <c r="H570" s="12">
        <v>1</v>
      </c>
      <c r="I570" s="13" t="str">
        <f>HYPERLINK("http://www.ncbi.nlm.nih.gov/gene/222553", "222553")</f>
        <v>222553</v>
      </c>
      <c r="J570" s="13" t="str">
        <f>HYPERLINK("http://www.ncbi.nlm.nih.gov/nuccore/NM_001029858", "NM_001029858")</f>
        <v>NM_001029858</v>
      </c>
      <c r="K570" s="12" t="s">
        <v>8121</v>
      </c>
      <c r="L570" s="13" t="str">
        <f>HYPERLINK("http://asia.ensembl.org/Homo_sapiens/Gene/Summary?g=ENSG00000196376", "ENSG00000196376")</f>
        <v>ENSG00000196376</v>
      </c>
      <c r="M570" s="12" t="s">
        <v>18727</v>
      </c>
      <c r="N570" s="12" t="s">
        <v>18728</v>
      </c>
    </row>
    <row r="571" spans="1:14">
      <c r="A571" s="12" t="s">
        <v>10188</v>
      </c>
      <c r="B571" s="8">
        <v>31563.246573247201</v>
      </c>
      <c r="C571" s="12">
        <v>82332.335328723406</v>
      </c>
      <c r="D571" s="8">
        <v>-1.3832135406461701</v>
      </c>
      <c r="E571" s="12">
        <v>4.5877600750153799E-3</v>
      </c>
      <c r="F571" s="8" t="s">
        <v>10189</v>
      </c>
      <c r="G571" s="12" t="s">
        <v>15570</v>
      </c>
      <c r="H571" s="12">
        <v>1</v>
      </c>
      <c r="I571" s="13" t="str">
        <f>HYPERLINK("http://www.ncbi.nlm.nih.gov/gene/5721", "5721")</f>
        <v>5721</v>
      </c>
      <c r="J571" s="13" t="str">
        <f>HYPERLINK("http://www.ncbi.nlm.nih.gov/nuccore/NM_002818", "NM_002818")</f>
        <v>NM_002818</v>
      </c>
      <c r="K571" s="12" t="s">
        <v>10190</v>
      </c>
      <c r="L571" s="13" t="str">
        <f>HYPERLINK("http://asia.ensembl.org/Homo_sapiens/Gene/Summary?g=ENSG00000100911", "ENSG00000100911")</f>
        <v>ENSG00000100911</v>
      </c>
      <c r="M571" s="12" t="s">
        <v>19578</v>
      </c>
      <c r="N571" s="12" t="s">
        <v>19579</v>
      </c>
    </row>
    <row r="572" spans="1:14">
      <c r="A572" s="12" t="s">
        <v>553</v>
      </c>
      <c r="B572" s="8">
        <v>7984.2645472965696</v>
      </c>
      <c r="C572" s="12">
        <v>20818.795772758702</v>
      </c>
      <c r="D572" s="8">
        <v>-1.3826551926144</v>
      </c>
      <c r="E572" s="12">
        <v>2.71620888090377E-3</v>
      </c>
      <c r="F572" s="8" t="s">
        <v>554</v>
      </c>
      <c r="G572" s="12" t="s">
        <v>555</v>
      </c>
      <c r="H572" s="12">
        <v>1</v>
      </c>
      <c r="I572" s="13" t="str">
        <f>HYPERLINK("http://www.ncbi.nlm.nih.gov/gene/10567", "10567")</f>
        <v>10567</v>
      </c>
      <c r="J572" s="13" t="str">
        <f>HYPERLINK("http://www.ncbi.nlm.nih.gov/nuccore/NM_006423", "NM_006423")</f>
        <v>NM_006423</v>
      </c>
      <c r="K572" s="12" t="s">
        <v>556</v>
      </c>
      <c r="L572" s="13" t="str">
        <f>HYPERLINK("http://asia.ensembl.org/Homo_sapiens/Gene/Summary?g=ENSG00000105404", "ENSG00000105404")</f>
        <v>ENSG00000105404</v>
      </c>
      <c r="M572" s="12" t="s">
        <v>16372</v>
      </c>
      <c r="N572" s="12" t="s">
        <v>16373</v>
      </c>
    </row>
    <row r="573" spans="1:14">
      <c r="A573" s="12" t="s">
        <v>4152</v>
      </c>
      <c r="B573" s="8">
        <v>18882.4485135709</v>
      </c>
      <c r="C573" s="12">
        <v>49212.2021440346</v>
      </c>
      <c r="D573" s="8">
        <v>-1.38197022240649</v>
      </c>
      <c r="E573" s="12">
        <v>4.49154180349542E-4</v>
      </c>
      <c r="F573" s="8" t="s">
        <v>4153</v>
      </c>
      <c r="G573" s="12" t="s">
        <v>4154</v>
      </c>
      <c r="H573" s="12">
        <v>1</v>
      </c>
      <c r="I573" s="13" t="str">
        <f>HYPERLINK("http://www.ncbi.nlm.nih.gov/gene/51024", "51024")</f>
        <v>51024</v>
      </c>
      <c r="J573" s="13" t="str">
        <f>HYPERLINK("http://www.ncbi.nlm.nih.gov/nuccore/NM_016068", "NM_016068")</f>
        <v>NM_016068</v>
      </c>
      <c r="K573" s="12" t="s">
        <v>4155</v>
      </c>
      <c r="L573" s="13" t="str">
        <f>HYPERLINK("http://asia.ensembl.org/Homo_sapiens/Gene/Summary?g=ENSG00000214253", "ENSG00000214253")</f>
        <v>ENSG00000214253</v>
      </c>
      <c r="M573" s="12" t="s">
        <v>17585</v>
      </c>
      <c r="N573" s="12" t="s">
        <v>17586</v>
      </c>
    </row>
    <row r="574" spans="1:14">
      <c r="A574" s="12" t="s">
        <v>7142</v>
      </c>
      <c r="B574" s="8">
        <v>17147.985055020101</v>
      </c>
      <c r="C574" s="12">
        <v>44689.898329743002</v>
      </c>
      <c r="D574" s="8">
        <v>-1.3819096976652501</v>
      </c>
      <c r="E574" s="12">
        <v>3.3119740580257401E-3</v>
      </c>
      <c r="F574" s="8" t="s">
        <v>7143</v>
      </c>
      <c r="G574" s="12" t="s">
        <v>7144</v>
      </c>
      <c r="H574" s="12">
        <v>1</v>
      </c>
      <c r="I574" s="13" t="str">
        <f>HYPERLINK("http://www.ncbi.nlm.nih.gov/gene/10204", "10204")</f>
        <v>10204</v>
      </c>
      <c r="J574" s="13" t="str">
        <f>HYPERLINK("http://www.ncbi.nlm.nih.gov/nuccore/NM_005796", "NM_005796")</f>
        <v>NM_005796</v>
      </c>
      <c r="K574" s="12" t="s">
        <v>7145</v>
      </c>
      <c r="L574" s="13" t="str">
        <f>HYPERLINK("http://asia.ensembl.org/Homo_sapiens/Gene/Summary?g=ENSG00000102898", "ENSG00000102898")</f>
        <v>ENSG00000102898</v>
      </c>
      <c r="M574" s="12" t="s">
        <v>18388</v>
      </c>
      <c r="N574" s="12" t="s">
        <v>18389</v>
      </c>
    </row>
    <row r="575" spans="1:14">
      <c r="A575" s="12" t="s">
        <v>4884</v>
      </c>
      <c r="B575" s="8">
        <v>14764.1569107376</v>
      </c>
      <c r="C575" s="12">
        <v>38441.174976366703</v>
      </c>
      <c r="D575" s="8">
        <v>-1.38055345810514</v>
      </c>
      <c r="E575" s="12">
        <v>2.6179242593596899E-2</v>
      </c>
      <c r="F575" s="8" t="s">
        <v>4885</v>
      </c>
      <c r="G575" s="12" t="s">
        <v>4886</v>
      </c>
      <c r="H575" s="12">
        <v>1</v>
      </c>
      <c r="I575" s="13" t="str">
        <f>HYPERLINK("http://www.ncbi.nlm.nih.gov/gene/1909", "1909")</f>
        <v>1909</v>
      </c>
      <c r="J575" s="12" t="s">
        <v>17754</v>
      </c>
      <c r="K575" s="12" t="s">
        <v>17755</v>
      </c>
      <c r="L575" s="13" t="str">
        <f>HYPERLINK("http://asia.ensembl.org/Homo_sapiens/Gene/Summary?g=ENSG00000151617", "ENSG00000151617")</f>
        <v>ENSG00000151617</v>
      </c>
      <c r="M575" s="12" t="s">
        <v>17756</v>
      </c>
      <c r="N575" s="12" t="s">
        <v>17757</v>
      </c>
    </row>
    <row r="576" spans="1:14">
      <c r="A576" s="12" t="s">
        <v>2509</v>
      </c>
      <c r="B576" s="8">
        <v>58.600029181469402</v>
      </c>
      <c r="C576" s="12">
        <v>152.57288292455601</v>
      </c>
      <c r="D576" s="8">
        <v>-1.3805252837691599</v>
      </c>
      <c r="E576" s="12">
        <v>3.2882844135230099E-2</v>
      </c>
      <c r="F576" s="8" t="s">
        <v>2510</v>
      </c>
      <c r="G576" s="12" t="s">
        <v>2511</v>
      </c>
      <c r="H576" s="12">
        <v>1</v>
      </c>
      <c r="I576" s="13" t="str">
        <f>HYPERLINK("http://www.ncbi.nlm.nih.gov/gene/170302", "170302")</f>
        <v>170302</v>
      </c>
      <c r="J576" s="13" t="str">
        <f>HYPERLINK("http://www.ncbi.nlm.nih.gov/nuccore/NM_139058", "NM_139058")</f>
        <v>NM_139058</v>
      </c>
      <c r="K576" s="12" t="s">
        <v>2512</v>
      </c>
      <c r="L576" s="13" t="str">
        <f>HYPERLINK("http://asia.ensembl.org/Homo_sapiens/Gene/Summary?g=ENSG00000004848", "ENSG00000004848")</f>
        <v>ENSG00000004848</v>
      </c>
      <c r="M576" s="12" t="s">
        <v>2513</v>
      </c>
      <c r="N576" s="12" t="s">
        <v>2514</v>
      </c>
    </row>
    <row r="577" spans="1:14">
      <c r="A577" s="12" t="s">
        <v>9865</v>
      </c>
      <c r="B577" s="8">
        <v>6969.4044292999197</v>
      </c>
      <c r="C577" s="12">
        <v>18130.6497320626</v>
      </c>
      <c r="D577" s="8">
        <v>-1.3793233456765801</v>
      </c>
      <c r="E577" s="12">
        <v>4.5625639116991402E-3</v>
      </c>
      <c r="F577" s="8" t="s">
        <v>4073</v>
      </c>
      <c r="G577" s="12" t="s">
        <v>4074</v>
      </c>
      <c r="H577" s="12">
        <v>1</v>
      </c>
      <c r="I577" s="13" t="str">
        <f>HYPERLINK("http://www.ncbi.nlm.nih.gov/gene/5889", "5889")</f>
        <v>5889</v>
      </c>
      <c r="J577" s="12" t="s">
        <v>19381</v>
      </c>
      <c r="K577" s="12" t="s">
        <v>19382</v>
      </c>
      <c r="L577" s="13" t="str">
        <f>HYPERLINK("http://asia.ensembl.org/Homo_sapiens/Gene/Summary?g=ENSG00000108384", "ENSG00000108384")</f>
        <v>ENSG00000108384</v>
      </c>
      <c r="M577" s="12" t="s">
        <v>19383</v>
      </c>
      <c r="N577" s="12" t="s">
        <v>19384</v>
      </c>
    </row>
    <row r="578" spans="1:14">
      <c r="A578" s="12" t="s">
        <v>7393</v>
      </c>
      <c r="B578" s="8">
        <v>7551.4828185305196</v>
      </c>
      <c r="C578" s="12">
        <v>19630.719748699201</v>
      </c>
      <c r="D578" s="8">
        <v>-1.37828120257722</v>
      </c>
      <c r="E578" s="12">
        <v>1.8688780425483401E-3</v>
      </c>
      <c r="F578" s="8" t="s">
        <v>7394</v>
      </c>
      <c r="G578" s="12" t="s">
        <v>7395</v>
      </c>
      <c r="H578" s="12">
        <v>1</v>
      </c>
      <c r="I578" s="13" t="str">
        <f>HYPERLINK("http://www.ncbi.nlm.nih.gov/gene/51651", "51651")</f>
        <v>51651</v>
      </c>
      <c r="J578" s="13" t="str">
        <f>HYPERLINK("http://www.ncbi.nlm.nih.gov/nuccore/NM_016077", "NM_016077")</f>
        <v>NM_016077</v>
      </c>
      <c r="K578" s="12" t="s">
        <v>7396</v>
      </c>
      <c r="L578" s="13" t="str">
        <f>HYPERLINK("http://asia.ensembl.org/Homo_sapiens/Gene/Summary?g=ENSG00000141378", "ENSG00000141378")</f>
        <v>ENSG00000141378</v>
      </c>
      <c r="M578" s="12" t="s">
        <v>18504</v>
      </c>
      <c r="N578" s="12" t="s">
        <v>18505</v>
      </c>
    </row>
    <row r="579" spans="1:14">
      <c r="A579" s="12" t="s">
        <v>6989</v>
      </c>
      <c r="B579" s="8">
        <v>1023.21173523273</v>
      </c>
      <c r="C579" s="12">
        <v>2658.9035402763602</v>
      </c>
      <c r="D579" s="8">
        <v>-1.37772672432187</v>
      </c>
      <c r="E579" s="12">
        <v>1.93536879573877E-3</v>
      </c>
      <c r="F579" s="8" t="s">
        <v>6990</v>
      </c>
      <c r="G579" s="12" t="s">
        <v>6991</v>
      </c>
      <c r="H579" s="12">
        <v>1</v>
      </c>
      <c r="I579" s="13" t="str">
        <f>HYPERLINK("http://www.ncbi.nlm.nih.gov/gene/79845", "79845")</f>
        <v>79845</v>
      </c>
      <c r="J579" s="13" t="str">
        <f>HYPERLINK("http://www.ncbi.nlm.nih.gov/nuccore/NM_024787", "NM_024787")</f>
        <v>NM_024787</v>
      </c>
      <c r="K579" s="12" t="s">
        <v>6992</v>
      </c>
      <c r="L579" s="13" t="str">
        <f>HYPERLINK("http://asia.ensembl.org/Homo_sapiens/Gene/Summary?g=ENSG00000133874", "ENSG00000133874")</f>
        <v>ENSG00000133874</v>
      </c>
      <c r="M579" s="12" t="s">
        <v>6993</v>
      </c>
      <c r="N579" s="12" t="s">
        <v>6994</v>
      </c>
    </row>
    <row r="580" spans="1:14">
      <c r="A580" s="12" t="s">
        <v>7084</v>
      </c>
      <c r="B580" s="8">
        <v>549.28715976421199</v>
      </c>
      <c r="C580" s="12">
        <v>1426.8218461829399</v>
      </c>
      <c r="D580" s="8">
        <v>-1.3771727376416101</v>
      </c>
      <c r="E580" s="12">
        <v>3.0454387722481899E-4</v>
      </c>
      <c r="F580" s="8" t="s">
        <v>7085</v>
      </c>
      <c r="G580" s="12" t="s">
        <v>7086</v>
      </c>
      <c r="H580" s="12">
        <v>1</v>
      </c>
      <c r="I580" s="13" t="str">
        <f>HYPERLINK("http://www.ncbi.nlm.nih.gov/gene/637", "637")</f>
        <v>637</v>
      </c>
      <c r="J580" s="12" t="s">
        <v>18360</v>
      </c>
      <c r="K580" s="12" t="s">
        <v>18361</v>
      </c>
      <c r="L580" s="13" t="str">
        <f>HYPERLINK("http://asia.ensembl.org/Homo_sapiens/Gene/Summary?g=ENSG00000015475", "ENSG00000015475")</f>
        <v>ENSG00000015475</v>
      </c>
      <c r="M580" s="12" t="s">
        <v>18362</v>
      </c>
      <c r="N580" s="12" t="s">
        <v>18363</v>
      </c>
    </row>
    <row r="581" spans="1:14">
      <c r="A581" s="12" t="s">
        <v>42</v>
      </c>
      <c r="B581" s="8">
        <v>393.41877931096599</v>
      </c>
      <c r="C581" s="12">
        <v>1021.58827173346</v>
      </c>
      <c r="D581" s="8">
        <v>-1.3766761380369601</v>
      </c>
      <c r="E581" s="12">
        <v>8.4001171009677597E-4</v>
      </c>
      <c r="F581" s="8" t="s">
        <v>43</v>
      </c>
      <c r="G581" s="12" t="s">
        <v>44</v>
      </c>
      <c r="H581" s="12">
        <v>1</v>
      </c>
      <c r="I581" s="13" t="str">
        <f>HYPERLINK("http://www.ncbi.nlm.nih.gov/gene/51741", "51741")</f>
        <v>51741</v>
      </c>
      <c r="J581" s="13" t="str">
        <f>HYPERLINK("http://www.ncbi.nlm.nih.gov/nuccore/NM_016373", "NM_016373")</f>
        <v>NM_016373</v>
      </c>
      <c r="K581" s="12" t="s">
        <v>45</v>
      </c>
      <c r="L581" s="13" t="str">
        <f>HYPERLINK("http://asia.ensembl.org/Homo_sapiens/Gene/Summary?g=ENSG00000186153", "ENSG00000186153")</f>
        <v>ENSG00000186153</v>
      </c>
      <c r="M581" s="12" t="s">
        <v>16233</v>
      </c>
      <c r="N581" s="12" t="s">
        <v>16234</v>
      </c>
    </row>
    <row r="582" spans="1:14">
      <c r="A582" s="12" t="s">
        <v>10254</v>
      </c>
      <c r="B582" s="8">
        <v>50</v>
      </c>
      <c r="C582" s="12">
        <v>129.82004599169699</v>
      </c>
      <c r="D582" s="8">
        <v>-1.37651317239603</v>
      </c>
      <c r="E582" s="12">
        <v>1.5334145074812799E-5</v>
      </c>
      <c r="F582" s="8" t="s">
        <v>6573</v>
      </c>
      <c r="G582" s="12" t="s">
        <v>6574</v>
      </c>
      <c r="H582" s="12">
        <v>1</v>
      </c>
      <c r="I582" s="13" t="str">
        <f>HYPERLINK("http://www.ncbi.nlm.nih.gov/gene/3110", "3110")</f>
        <v>3110</v>
      </c>
      <c r="J582" s="12" t="s">
        <v>19631</v>
      </c>
      <c r="K582" s="12" t="s">
        <v>19632</v>
      </c>
      <c r="L582" s="13" t="str">
        <f>HYPERLINK("http://asia.ensembl.org/Homo_sapiens/Gene/Summary?g=ENSG00000130675", "ENSG00000130675")</f>
        <v>ENSG00000130675</v>
      </c>
      <c r="M582" s="12" t="s">
        <v>19633</v>
      </c>
      <c r="N582" s="12" t="s">
        <v>19634</v>
      </c>
    </row>
    <row r="583" spans="1:14">
      <c r="A583" s="12" t="s">
        <v>5770</v>
      </c>
      <c r="B583" s="8">
        <v>11949.7508178755</v>
      </c>
      <c r="C583" s="12">
        <v>31024.0183033264</v>
      </c>
      <c r="D583" s="8">
        <v>-1.37640502498049</v>
      </c>
      <c r="E583" s="12">
        <v>2.5272457326435999E-3</v>
      </c>
      <c r="F583" s="8" t="s">
        <v>5771</v>
      </c>
      <c r="G583" s="12" t="s">
        <v>5772</v>
      </c>
      <c r="H583" s="12">
        <v>1</v>
      </c>
      <c r="I583" s="13" t="str">
        <f>HYPERLINK("http://www.ncbi.nlm.nih.gov/gene/9167", "9167")</f>
        <v>9167</v>
      </c>
      <c r="J583" s="13" t="str">
        <f>HYPERLINK("http://www.ncbi.nlm.nih.gov/nuccore/NM_004718", "NM_004718")</f>
        <v>NM_004718</v>
      </c>
      <c r="K583" s="12" t="s">
        <v>5773</v>
      </c>
      <c r="L583" s="13" t="str">
        <f>HYPERLINK("http://asia.ensembl.org/Homo_sapiens/Gene/Summary?g=ENSG00000115944", "ENSG00000115944")</f>
        <v>ENSG00000115944</v>
      </c>
      <c r="M583" s="12" t="s">
        <v>17969</v>
      </c>
      <c r="N583" s="12" t="s">
        <v>17970</v>
      </c>
    </row>
    <row r="584" spans="1:14">
      <c r="A584" s="12" t="s">
        <v>3854</v>
      </c>
      <c r="B584" s="8">
        <v>2183.8059273584099</v>
      </c>
      <c r="C584" s="12">
        <v>5664.2010882204404</v>
      </c>
      <c r="D584" s="8">
        <v>-1.3750278332235299</v>
      </c>
      <c r="E584" s="12">
        <v>1.29289408452499E-3</v>
      </c>
      <c r="F584" s="8" t="s">
        <v>3855</v>
      </c>
      <c r="G584" s="12" t="s">
        <v>17445</v>
      </c>
      <c r="H584" s="12">
        <v>1</v>
      </c>
      <c r="I584" s="13" t="str">
        <f>HYPERLINK("http://www.ncbi.nlm.nih.gov/gene/51310", "51310")</f>
        <v>51310</v>
      </c>
      <c r="J584" s="12" t="s">
        <v>17446</v>
      </c>
      <c r="K584" s="12" t="s">
        <v>17447</v>
      </c>
      <c r="L584" s="13" t="str">
        <f>HYPERLINK("http://asia.ensembl.org/Homo_sapiens/Gene/Summary?g=ENSG00000092096", "ENSG00000092096")</f>
        <v>ENSG00000092096</v>
      </c>
      <c r="M584" s="12" t="s">
        <v>17448</v>
      </c>
      <c r="N584" s="12" t="s">
        <v>17449</v>
      </c>
    </row>
    <row r="585" spans="1:14">
      <c r="A585" s="12" t="s">
        <v>8526</v>
      </c>
      <c r="B585" s="8">
        <v>991.35079447634996</v>
      </c>
      <c r="C585" s="12">
        <v>2571.0079423171001</v>
      </c>
      <c r="D585" s="8">
        <v>-1.3748665091477701</v>
      </c>
      <c r="E585" s="12">
        <v>1.2414717241372801E-2</v>
      </c>
      <c r="F585" s="8" t="s">
        <v>5431</v>
      </c>
      <c r="G585" s="12" t="s">
        <v>15570</v>
      </c>
      <c r="H585" s="12">
        <v>1</v>
      </c>
      <c r="I585" s="13" t="str">
        <f>HYPERLINK("http://www.ncbi.nlm.nih.gov/gene/56984", "56984")</f>
        <v>56984</v>
      </c>
      <c r="J585" s="13" t="str">
        <f>HYPERLINK("http://www.ncbi.nlm.nih.gov/nuccore/NM_020232", "NM_020232")</f>
        <v>NM_020232</v>
      </c>
      <c r="K585" s="12" t="s">
        <v>8527</v>
      </c>
      <c r="L585" s="13" t="str">
        <f>HYPERLINK("http://asia.ensembl.org/Homo_sapiens/Gene/Summary?g=ENSG00000128789", "ENSG00000128789")</f>
        <v>ENSG00000128789</v>
      </c>
      <c r="M585" s="12" t="s">
        <v>18872</v>
      </c>
      <c r="N585" s="12" t="s">
        <v>18873</v>
      </c>
    </row>
    <row r="586" spans="1:14">
      <c r="A586" s="12" t="s">
        <v>10402</v>
      </c>
      <c r="B586" s="8">
        <v>733.40975255972205</v>
      </c>
      <c r="C586" s="12">
        <v>1901.7774146183899</v>
      </c>
      <c r="D586" s="8">
        <v>-1.3746570464124099</v>
      </c>
      <c r="E586" s="12">
        <v>5.1937438729741598E-3</v>
      </c>
      <c r="F586" s="8" t="s">
        <v>7364</v>
      </c>
      <c r="G586" s="12" t="s">
        <v>7365</v>
      </c>
      <c r="H586" s="12">
        <v>1</v>
      </c>
      <c r="I586" s="13" t="str">
        <f>HYPERLINK("http://www.ncbi.nlm.nih.gov/gene/1104", "1104")</f>
        <v>1104</v>
      </c>
      <c r="J586" s="12" t="s">
        <v>19721</v>
      </c>
      <c r="K586" s="12" t="s">
        <v>19722</v>
      </c>
      <c r="L586" s="13" t="str">
        <f>HYPERLINK("http://asia.ensembl.org/Homo_sapiens/Gene/Summary?g=ENSG00000180198", "ENSG00000180198")</f>
        <v>ENSG00000180198</v>
      </c>
      <c r="M586" s="12" t="s">
        <v>19723</v>
      </c>
      <c r="N586" s="12" t="s">
        <v>19724</v>
      </c>
    </row>
    <row r="587" spans="1:14">
      <c r="A587" s="12" t="s">
        <v>9152</v>
      </c>
      <c r="B587" s="8">
        <v>1106.5521352405301</v>
      </c>
      <c r="C587" s="12">
        <v>2867.4984665410998</v>
      </c>
      <c r="D587" s="8">
        <v>-1.37372128936297</v>
      </c>
      <c r="E587" s="12">
        <v>2.4580679512535E-3</v>
      </c>
      <c r="F587" s="8" t="s">
        <v>9153</v>
      </c>
      <c r="G587" s="12" t="s">
        <v>19077</v>
      </c>
      <c r="H587" s="12">
        <v>1</v>
      </c>
      <c r="I587" s="13" t="str">
        <f>HYPERLINK("http://www.ncbi.nlm.nih.gov/gene/6697", "6697")</f>
        <v>6697</v>
      </c>
      <c r="J587" s="13" t="str">
        <f>HYPERLINK("http://www.ncbi.nlm.nih.gov/nuccore/NM_003124", "NM_003124")</f>
        <v>NM_003124</v>
      </c>
      <c r="K587" s="12" t="s">
        <v>9154</v>
      </c>
      <c r="L587" s="13" t="str">
        <f>HYPERLINK("http://asia.ensembl.org/Homo_sapiens/Gene/Summary?g=ENSG00000116096", "ENSG00000116096")</f>
        <v>ENSG00000116096</v>
      </c>
      <c r="M587" s="12" t="s">
        <v>19078</v>
      </c>
      <c r="N587" s="12" t="s">
        <v>9155</v>
      </c>
    </row>
    <row r="588" spans="1:14">
      <c r="A588" s="12" t="s">
        <v>749</v>
      </c>
      <c r="B588" s="8">
        <v>3676.76299300341</v>
      </c>
      <c r="C588" s="12">
        <v>9522.2816052365106</v>
      </c>
      <c r="D588" s="8">
        <v>-1.3728711124740001</v>
      </c>
      <c r="E588" s="12">
        <v>8.2714026394627004E-3</v>
      </c>
      <c r="F588" s="8" t="s">
        <v>750</v>
      </c>
      <c r="G588" s="12" t="s">
        <v>16433</v>
      </c>
      <c r="H588" s="12">
        <v>1</v>
      </c>
      <c r="I588" s="13" t="str">
        <f>HYPERLINK("http://www.ncbi.nlm.nih.gov/gene/122509", "122509")</f>
        <v>122509</v>
      </c>
      <c r="J588" s="12" t="s">
        <v>16434</v>
      </c>
      <c r="K588" s="12" t="s">
        <v>16435</v>
      </c>
      <c r="L588" s="13" t="str">
        <f>HYPERLINK("http://asia.ensembl.org/Homo_sapiens/Gene/Summary?g=ENSG00000165948", "ENSG00000165948")</f>
        <v>ENSG00000165948</v>
      </c>
      <c r="M588" s="12" t="s">
        <v>16436</v>
      </c>
      <c r="N588" s="12" t="s">
        <v>16437</v>
      </c>
    </row>
    <row r="589" spans="1:14">
      <c r="A589" s="12" t="s">
        <v>264</v>
      </c>
      <c r="B589" s="8">
        <v>45824.184284868301</v>
      </c>
      <c r="C589" s="12">
        <v>118568.319662603</v>
      </c>
      <c r="D589" s="8">
        <v>-1.3715374821272699</v>
      </c>
      <c r="E589" s="12">
        <v>2.1702509103510002E-3</v>
      </c>
      <c r="F589" s="8" t="s">
        <v>265</v>
      </c>
      <c r="G589" s="12" t="s">
        <v>266</v>
      </c>
      <c r="H589" s="12">
        <v>1</v>
      </c>
      <c r="I589" s="13" t="str">
        <f>HYPERLINK("http://www.ncbi.nlm.nih.gov/gene/29089", "29089")</f>
        <v>29089</v>
      </c>
      <c r="J589" s="13" t="str">
        <f>HYPERLINK("http://www.ncbi.nlm.nih.gov/nuccore/NM_014176", "NM_014176")</f>
        <v>NM_014176</v>
      </c>
      <c r="K589" s="12" t="s">
        <v>267</v>
      </c>
      <c r="L589" s="13" t="str">
        <f>HYPERLINK("http://asia.ensembl.org/Homo_sapiens/Gene/Summary?g=ENSG00000077152", "ENSG00000077152")</f>
        <v>ENSG00000077152</v>
      </c>
      <c r="M589" s="12" t="s">
        <v>16302</v>
      </c>
      <c r="N589" s="12" t="s">
        <v>268</v>
      </c>
    </row>
    <row r="590" spans="1:14">
      <c r="A590" s="12" t="s">
        <v>5228</v>
      </c>
      <c r="B590" s="8">
        <v>3778.3150291935099</v>
      </c>
      <c r="C590" s="12">
        <v>9776.0955131319806</v>
      </c>
      <c r="D590" s="8">
        <v>-1.3715153843659</v>
      </c>
      <c r="E590" s="12">
        <v>1.84940250487254E-3</v>
      </c>
      <c r="F590" s="8" t="s">
        <v>5229</v>
      </c>
      <c r="G590" s="12" t="s">
        <v>5230</v>
      </c>
      <c r="H590" s="12">
        <v>1</v>
      </c>
      <c r="I590" s="13" t="str">
        <f>HYPERLINK("http://www.ncbi.nlm.nih.gov/gene/196294", "196294")</f>
        <v>196294</v>
      </c>
      <c r="J590" s="13" t="str">
        <f>HYPERLINK("http://www.ncbi.nlm.nih.gov/nuccore/NM_144981", "NM_144981")</f>
        <v>NM_144981</v>
      </c>
      <c r="K590" s="12" t="s">
        <v>5231</v>
      </c>
      <c r="L590" s="13" t="str">
        <f>HYPERLINK("http://asia.ensembl.org/Homo_sapiens/Gene/Summary?g=ENSG00000148950", "ENSG00000148950")</f>
        <v>ENSG00000148950</v>
      </c>
      <c r="M590" s="12" t="s">
        <v>17831</v>
      </c>
      <c r="N590" s="12" t="s">
        <v>17832</v>
      </c>
    </row>
    <row r="591" spans="1:14">
      <c r="A591" s="12" t="s">
        <v>9061</v>
      </c>
      <c r="B591" s="8">
        <v>3588.4937846817002</v>
      </c>
      <c r="C591" s="12">
        <v>9283.2550130761192</v>
      </c>
      <c r="D591" s="8">
        <v>-1.37125232821825</v>
      </c>
      <c r="E591" s="12">
        <v>9.1115276507921497E-4</v>
      </c>
      <c r="F591" s="8" t="s">
        <v>9062</v>
      </c>
      <c r="G591" s="12" t="s">
        <v>9063</v>
      </c>
      <c r="H591" s="12">
        <v>1</v>
      </c>
      <c r="I591" s="13" t="str">
        <f>HYPERLINK("http://www.ncbi.nlm.nih.gov/gene/258010", "258010")</f>
        <v>258010</v>
      </c>
      <c r="J591" s="13" t="str">
        <f>HYPERLINK("http://www.ncbi.nlm.nih.gov/nuccore/NM_148893", "NM_148893")</f>
        <v>NM_148893</v>
      </c>
      <c r="K591" s="12" t="s">
        <v>9064</v>
      </c>
      <c r="L591" s="13" t="str">
        <f>HYPERLINK("http://asia.ensembl.org/Homo_sapiens/Gene/Summary?g=ENSG00000198168", "ENSG00000198168")</f>
        <v>ENSG00000198168</v>
      </c>
      <c r="M591" s="12" t="s">
        <v>19055</v>
      </c>
      <c r="N591" s="12" t="s">
        <v>9065</v>
      </c>
    </row>
    <row r="592" spans="1:14">
      <c r="A592" s="12" t="s">
        <v>2546</v>
      </c>
      <c r="B592" s="8">
        <v>226.06629904366801</v>
      </c>
      <c r="C592" s="12">
        <v>584.63346306507594</v>
      </c>
      <c r="D592" s="8">
        <v>-1.3707864704574999</v>
      </c>
      <c r="E592" s="12">
        <v>2.72603864726661E-4</v>
      </c>
      <c r="F592" s="8" t="s">
        <v>2547</v>
      </c>
      <c r="G592" s="12" t="s">
        <v>2548</v>
      </c>
      <c r="H592" s="12">
        <v>1</v>
      </c>
      <c r="I592" s="13" t="str">
        <f>HYPERLINK("http://www.ncbi.nlm.nih.gov/gene/554251", "554251")</f>
        <v>554251</v>
      </c>
      <c r="J592" s="13" t="str">
        <f>HYPERLINK("http://www.ncbi.nlm.nih.gov/nuccore/NM_001024680", "NM_001024680")</f>
        <v>NM_001024680</v>
      </c>
      <c r="K592" s="12" t="s">
        <v>2549</v>
      </c>
      <c r="L592" s="13" t="str">
        <f>HYPERLINK("http://asia.ensembl.org/Homo_sapiens/Gene/Summary?g=ENSG00000204923", "ENSG00000204923")</f>
        <v>ENSG00000204923</v>
      </c>
      <c r="M592" s="12" t="s">
        <v>2550</v>
      </c>
      <c r="N592" s="12" t="s">
        <v>2551</v>
      </c>
    </row>
    <row r="593" spans="1:14">
      <c r="A593" s="12" t="s">
        <v>10820</v>
      </c>
      <c r="B593" s="8">
        <v>203.914118576015</v>
      </c>
      <c r="C593" s="12">
        <v>526.80637611174097</v>
      </c>
      <c r="D593" s="8">
        <v>-1.36931113919351</v>
      </c>
      <c r="E593" s="12">
        <v>7.7997726043307702E-5</v>
      </c>
      <c r="F593" s="8" t="s">
        <v>8337</v>
      </c>
      <c r="G593" s="12" t="s">
        <v>8338</v>
      </c>
      <c r="H593" s="12">
        <v>1</v>
      </c>
      <c r="I593" s="13" t="str">
        <f>HYPERLINK("http://www.ncbi.nlm.nih.gov/gene/79616", "79616")</f>
        <v>79616</v>
      </c>
      <c r="J593" s="13" t="str">
        <f>HYPERLINK("http://www.ncbi.nlm.nih.gov/nuccore/NM_024565", "NM_024565")</f>
        <v>NM_024565</v>
      </c>
      <c r="K593" s="12" t="s">
        <v>8339</v>
      </c>
      <c r="L593" s="13" t="str">
        <f>HYPERLINK("http://asia.ensembl.org/Homo_sapiens/Gene/Summary?g=ENSG00000135083", "ENSG00000135083")</f>
        <v>ENSG00000135083</v>
      </c>
      <c r="M593" s="12" t="s">
        <v>19871</v>
      </c>
      <c r="N593" s="12" t="s">
        <v>19872</v>
      </c>
    </row>
    <row r="594" spans="1:14">
      <c r="A594" s="12" t="s">
        <v>5748</v>
      </c>
      <c r="B594" s="8">
        <v>677.363728009547</v>
      </c>
      <c r="C594" s="12">
        <v>1749.88304245533</v>
      </c>
      <c r="D594" s="8">
        <v>-1.3692558598903399</v>
      </c>
      <c r="E594" s="12">
        <v>3.8421436202275899E-3</v>
      </c>
      <c r="F594" s="8" t="s">
        <v>5749</v>
      </c>
      <c r="G594" s="12" t="s">
        <v>5750</v>
      </c>
      <c r="H594" s="12">
        <v>1</v>
      </c>
      <c r="I594" s="13" t="str">
        <f>HYPERLINK("http://www.ncbi.nlm.nih.gov/gene/79066", "79066")</f>
        <v>79066</v>
      </c>
      <c r="J594" s="13" t="str">
        <f>HYPERLINK("http://www.ncbi.nlm.nih.gov/nuccore/NM_024086", "NM_024086")</f>
        <v>NM_024086</v>
      </c>
      <c r="K594" s="12" t="s">
        <v>5751</v>
      </c>
      <c r="L594" s="13" t="str">
        <f>HYPERLINK("http://asia.ensembl.org/Homo_sapiens/Gene/Summary?g=ENSG00000127804", "ENSG00000127804")</f>
        <v>ENSG00000127804</v>
      </c>
      <c r="M594" s="12" t="s">
        <v>17961</v>
      </c>
      <c r="N594" s="12" t="s">
        <v>17962</v>
      </c>
    </row>
    <row r="595" spans="1:14">
      <c r="A595" s="12" t="s">
        <v>47</v>
      </c>
      <c r="B595" s="8">
        <v>168.887566610032</v>
      </c>
      <c r="C595" s="12">
        <v>436.11776357078202</v>
      </c>
      <c r="D595" s="8">
        <v>-1.36865463241801</v>
      </c>
      <c r="E595" s="12">
        <v>1.53841528404453E-2</v>
      </c>
      <c r="F595" s="8" t="s">
        <v>48</v>
      </c>
      <c r="G595" s="12" t="s">
        <v>49</v>
      </c>
      <c r="H595" s="12">
        <v>1</v>
      </c>
      <c r="I595" s="13" t="str">
        <f>HYPERLINK("http://www.ncbi.nlm.nih.gov/gene/3592", "3592")</f>
        <v>3592</v>
      </c>
      <c r="J595" s="13" t="str">
        <f>HYPERLINK("http://www.ncbi.nlm.nih.gov/nuccore/NM_000882", "NM_000882")</f>
        <v>NM_000882</v>
      </c>
      <c r="K595" s="12" t="s">
        <v>50</v>
      </c>
      <c r="L595" s="13" t="str">
        <f>HYPERLINK("http://asia.ensembl.org/Homo_sapiens/Gene/Summary?g=ENSG00000168811", "ENSG00000168811")</f>
        <v>ENSG00000168811</v>
      </c>
      <c r="M595" s="12" t="s">
        <v>16235</v>
      </c>
      <c r="N595" s="12" t="s">
        <v>16236</v>
      </c>
    </row>
    <row r="596" spans="1:14">
      <c r="A596" s="12" t="s">
        <v>5184</v>
      </c>
      <c r="B596" s="8">
        <v>22911.2751677913</v>
      </c>
      <c r="C596" s="12">
        <v>59152.0029610114</v>
      </c>
      <c r="D596" s="8">
        <v>-1.36836926421872</v>
      </c>
      <c r="E596" s="12">
        <v>7.1738771808114001E-4</v>
      </c>
      <c r="F596" s="8" t="s">
        <v>5185</v>
      </c>
      <c r="G596" s="12" t="s">
        <v>5186</v>
      </c>
      <c r="H596" s="12">
        <v>1</v>
      </c>
      <c r="I596" s="13" t="str">
        <f>HYPERLINK("http://www.ncbi.nlm.nih.gov/gene/23475", "23475")</f>
        <v>23475</v>
      </c>
      <c r="J596" s="13" t="str">
        <f>HYPERLINK("http://www.ncbi.nlm.nih.gov/nuccore/NM_014298", "NM_014298")</f>
        <v>NM_014298</v>
      </c>
      <c r="K596" s="12" t="s">
        <v>5187</v>
      </c>
      <c r="L596" s="13" t="str">
        <f>HYPERLINK("http://asia.ensembl.org/Homo_sapiens/Gene/Summary?g=ENSG00000103485", "ENSG00000103485")</f>
        <v>ENSG00000103485</v>
      </c>
      <c r="M596" s="12" t="s">
        <v>17816</v>
      </c>
      <c r="N596" s="12" t="s">
        <v>17817</v>
      </c>
    </row>
    <row r="597" spans="1:14">
      <c r="A597" s="12" t="s">
        <v>10429</v>
      </c>
      <c r="B597" s="8">
        <v>9368.0991928714502</v>
      </c>
      <c r="C597" s="12">
        <v>24178.351295919401</v>
      </c>
      <c r="D597" s="8">
        <v>-1.36788761480489</v>
      </c>
      <c r="E597" s="12">
        <v>6.0062516740655002E-3</v>
      </c>
      <c r="F597" s="8" t="s">
        <v>10430</v>
      </c>
      <c r="G597" s="12" t="s">
        <v>10431</v>
      </c>
      <c r="H597" s="12">
        <v>1</v>
      </c>
      <c r="I597" s="13" t="str">
        <f>HYPERLINK("http://www.ncbi.nlm.nih.gov/gene/286527", "286527")</f>
        <v>286527</v>
      </c>
      <c r="J597" s="13" t="str">
        <f>HYPERLINK("http://www.ncbi.nlm.nih.gov/nuccore/NM_194324", "NM_194324")</f>
        <v>NM_194324</v>
      </c>
      <c r="K597" s="12" t="s">
        <v>10432</v>
      </c>
      <c r="L597" s="13" t="str">
        <f>HYPERLINK("http://asia.ensembl.org/Homo_sapiens/Gene/Summary?g=ENSG00000158427", "ENSG00000158427")</f>
        <v>ENSG00000158427</v>
      </c>
      <c r="M597" s="12" t="s">
        <v>19738</v>
      </c>
      <c r="N597" s="12" t="s">
        <v>19739</v>
      </c>
    </row>
    <row r="598" spans="1:14">
      <c r="A598" s="12" t="s">
        <v>5644</v>
      </c>
      <c r="B598" s="8">
        <v>2928.4353794797198</v>
      </c>
      <c r="C598" s="12">
        <v>7556.09451522378</v>
      </c>
      <c r="D598" s="8">
        <v>-1.3675106882853101</v>
      </c>
      <c r="E598" s="12">
        <v>5.5609940792047702E-4</v>
      </c>
      <c r="F598" s="8" t="s">
        <v>5645</v>
      </c>
      <c r="G598" s="12" t="s">
        <v>5646</v>
      </c>
      <c r="H598" s="12">
        <v>1</v>
      </c>
      <c r="I598" s="13" t="str">
        <f>HYPERLINK("http://www.ncbi.nlm.nih.gov/gene/9049", "9049")</f>
        <v>9049</v>
      </c>
      <c r="J598" s="13" t="str">
        <f>HYPERLINK("http://www.ncbi.nlm.nih.gov/nuccore/NM_003977", "NM_003977")</f>
        <v>NM_003977</v>
      </c>
      <c r="K598" s="12" t="s">
        <v>5647</v>
      </c>
      <c r="L598" s="13" t="str">
        <f>HYPERLINK("http://asia.ensembl.org/Homo_sapiens/Gene/Summary?g=ENSG00000110711", "ENSG00000110711")</f>
        <v>ENSG00000110711</v>
      </c>
      <c r="M598" s="12" t="s">
        <v>17930</v>
      </c>
      <c r="N598" s="12" t="s">
        <v>17931</v>
      </c>
    </row>
    <row r="599" spans="1:14">
      <c r="A599" s="12" t="s">
        <v>6044</v>
      </c>
      <c r="B599" s="8">
        <v>19128.239509053099</v>
      </c>
      <c r="C599" s="12">
        <v>49352.997530431101</v>
      </c>
      <c r="D599" s="8">
        <v>-1.3674336120622299</v>
      </c>
      <c r="E599" s="12">
        <v>1.85088700001688E-3</v>
      </c>
      <c r="F599" s="8" t="s">
        <v>6045</v>
      </c>
      <c r="G599" s="12" t="s">
        <v>6046</v>
      </c>
      <c r="H599" s="12">
        <v>1</v>
      </c>
      <c r="I599" s="13" t="str">
        <f>HYPERLINK("http://www.ncbi.nlm.nih.gov/gene/80777", "80777")</f>
        <v>80777</v>
      </c>
      <c r="J599" s="13" t="str">
        <f>HYPERLINK("http://www.ncbi.nlm.nih.gov/nuccore/NM_030579", "NM_030579")</f>
        <v>NM_030579</v>
      </c>
      <c r="K599" s="12" t="s">
        <v>6047</v>
      </c>
      <c r="L599" s="13" t="str">
        <f>HYPERLINK("http://asia.ensembl.org/Homo_sapiens/Gene/Summary?g=ENSG00000103018", "ENSG00000103018")</f>
        <v>ENSG00000103018</v>
      </c>
      <c r="M599" s="12" t="s">
        <v>18045</v>
      </c>
      <c r="N599" s="12" t="s">
        <v>18046</v>
      </c>
    </row>
    <row r="600" spans="1:14">
      <c r="A600" s="12" t="s">
        <v>1238</v>
      </c>
      <c r="B600" s="8">
        <v>218.79211339558901</v>
      </c>
      <c r="C600" s="12">
        <v>564.42201642354098</v>
      </c>
      <c r="D600" s="8">
        <v>-1.36721352874915</v>
      </c>
      <c r="E600" s="12">
        <v>4.3562170045930999E-4</v>
      </c>
      <c r="F600" s="8" t="s">
        <v>1239</v>
      </c>
      <c r="G600" s="12" t="s">
        <v>1240</v>
      </c>
      <c r="H600" s="12">
        <v>1</v>
      </c>
      <c r="I600" s="13" t="str">
        <f>HYPERLINK("http://www.ncbi.nlm.nih.gov/gene/51291", "51291")</f>
        <v>51291</v>
      </c>
      <c r="J600" s="13" t="str">
        <f>HYPERLINK("http://www.ncbi.nlm.nih.gov/nuccore/NM_016573", "NM_016573")</f>
        <v>NM_016573</v>
      </c>
      <c r="K600" s="12" t="s">
        <v>1241</v>
      </c>
      <c r="L600" s="13" t="str">
        <f>HYPERLINK("http://asia.ensembl.org/Homo_sapiens/Gene/Summary?g=ENSG00000089639", "ENSG00000089639")</f>
        <v>ENSG00000089639</v>
      </c>
      <c r="M600" s="12" t="s">
        <v>16552</v>
      </c>
      <c r="N600" s="12" t="s">
        <v>16553</v>
      </c>
    </row>
    <row r="601" spans="1:14">
      <c r="A601" s="12" t="s">
        <v>8478</v>
      </c>
      <c r="B601" s="8">
        <v>111.737715664099</v>
      </c>
      <c r="C601" s="12">
        <v>288.18030186703299</v>
      </c>
      <c r="D601" s="8">
        <v>-1.3668554939883399</v>
      </c>
      <c r="E601" s="12">
        <v>2.3786129262656702E-2</v>
      </c>
      <c r="F601" s="8" t="s">
        <v>8479</v>
      </c>
      <c r="G601" s="12" t="s">
        <v>8480</v>
      </c>
      <c r="H601" s="12">
        <v>1</v>
      </c>
      <c r="I601" s="13" t="str">
        <f>HYPERLINK("http://www.ncbi.nlm.nih.gov/gene/6277", "6277")</f>
        <v>6277</v>
      </c>
      <c r="J601" s="13" t="str">
        <f>HYPERLINK("http://www.ncbi.nlm.nih.gov/nuccore/NM_014624", "NM_014624")</f>
        <v>NM_014624</v>
      </c>
      <c r="K601" s="12" t="s">
        <v>8481</v>
      </c>
      <c r="L601" s="13" t="str">
        <f>HYPERLINK("http://asia.ensembl.org/Homo_sapiens/Gene/Summary?g=ENSG00000197956", "ENSG00000197956")</f>
        <v>ENSG00000197956</v>
      </c>
      <c r="M601" s="12" t="s">
        <v>18856</v>
      </c>
      <c r="N601" s="12" t="s">
        <v>18857</v>
      </c>
    </row>
    <row r="602" spans="1:14">
      <c r="A602" s="12" t="s">
        <v>9564</v>
      </c>
      <c r="B602" s="8">
        <v>33437.373933557603</v>
      </c>
      <c r="C602" s="12">
        <v>86121.630811152194</v>
      </c>
      <c r="D602" s="8">
        <v>-1.36491409171165</v>
      </c>
      <c r="E602" s="12">
        <v>3.1584005145568702E-3</v>
      </c>
      <c r="F602" s="8" t="s">
        <v>9565</v>
      </c>
      <c r="G602" s="12" t="s">
        <v>286</v>
      </c>
      <c r="H602" s="12">
        <v>1</v>
      </c>
      <c r="I602" s="13" t="str">
        <f>HYPERLINK("http://www.ncbi.nlm.nih.gov/gene/4714", "4714")</f>
        <v>4714</v>
      </c>
      <c r="J602" s="13" t="str">
        <f>HYPERLINK("http://www.ncbi.nlm.nih.gov/nuccore/NM_005004", "NM_005004")</f>
        <v>NM_005004</v>
      </c>
      <c r="K602" s="12" t="s">
        <v>9566</v>
      </c>
      <c r="L602" s="13" t="str">
        <f>HYPERLINK("http://asia.ensembl.org/Homo_sapiens/Gene/Summary?g=ENSG00000166136", "ENSG00000166136")</f>
        <v>ENSG00000166136</v>
      </c>
      <c r="M602" s="12" t="s">
        <v>19191</v>
      </c>
      <c r="N602" s="12" t="s">
        <v>19192</v>
      </c>
    </row>
    <row r="603" spans="1:14">
      <c r="A603" s="12" t="s">
        <v>11115</v>
      </c>
      <c r="B603" s="8">
        <v>640.22333474604397</v>
      </c>
      <c r="C603" s="12">
        <v>1648.61990831107</v>
      </c>
      <c r="D603" s="8">
        <v>-1.36461165565089</v>
      </c>
      <c r="E603" s="12">
        <v>3.7130384365574201E-3</v>
      </c>
      <c r="F603" s="8" t="s">
        <v>5615</v>
      </c>
      <c r="G603" s="12" t="s">
        <v>5616</v>
      </c>
      <c r="H603" s="12">
        <v>1</v>
      </c>
      <c r="I603" s="13" t="str">
        <f>HYPERLINK("http://www.ncbi.nlm.nih.gov/gene/6137", "6137")</f>
        <v>6137</v>
      </c>
      <c r="J603" s="12" t="s">
        <v>19971</v>
      </c>
      <c r="K603" s="12" t="s">
        <v>19972</v>
      </c>
      <c r="L603" s="13" t="str">
        <f>HYPERLINK("http://asia.ensembl.org/Homo_sapiens/Gene/Summary?g=ENSG00000167526", "ENSG00000167526")</f>
        <v>ENSG00000167526</v>
      </c>
      <c r="M603" s="12" t="s">
        <v>18990</v>
      </c>
      <c r="N603" s="12" t="s">
        <v>18991</v>
      </c>
    </row>
    <row r="604" spans="1:14">
      <c r="A604" s="12" t="s">
        <v>3400</v>
      </c>
      <c r="B604" s="8">
        <v>8951.5478442897893</v>
      </c>
      <c r="C604" s="12">
        <v>23046.089923468899</v>
      </c>
      <c r="D604" s="8">
        <v>-1.36431292832016</v>
      </c>
      <c r="E604" s="12">
        <v>2.08484484451562E-3</v>
      </c>
      <c r="F604" s="8" t="s">
        <v>3401</v>
      </c>
      <c r="G604" s="12" t="s">
        <v>3402</v>
      </c>
      <c r="H604" s="12">
        <v>1</v>
      </c>
      <c r="I604" s="13" t="str">
        <f>HYPERLINK("http://www.ncbi.nlm.nih.gov/gene/79068", "79068")</f>
        <v>79068</v>
      </c>
      <c r="J604" s="13" t="str">
        <f>HYPERLINK("http://www.ncbi.nlm.nih.gov/nuccore/NM_001080432", "NM_001080432")</f>
        <v>NM_001080432</v>
      </c>
      <c r="K604" s="12" t="s">
        <v>3403</v>
      </c>
      <c r="L604" s="13" t="str">
        <f>HYPERLINK("http://asia.ensembl.org/Homo_sapiens/Gene/Summary?g=ENSG00000140718", "ENSG00000140718")</f>
        <v>ENSG00000140718</v>
      </c>
      <c r="M604" s="12" t="s">
        <v>17298</v>
      </c>
      <c r="N604" s="12" t="s">
        <v>17299</v>
      </c>
    </row>
    <row r="605" spans="1:14">
      <c r="A605" s="12" t="s">
        <v>8340</v>
      </c>
      <c r="B605" s="8">
        <v>4948.5791718132496</v>
      </c>
      <c r="C605" s="12">
        <v>12732.9460397316</v>
      </c>
      <c r="D605" s="8">
        <v>-1.36347999080071</v>
      </c>
      <c r="E605" s="12">
        <v>8.3468191266848606E-3</v>
      </c>
      <c r="F605" s="8" t="s">
        <v>649</v>
      </c>
      <c r="G605" s="12" t="s">
        <v>104</v>
      </c>
      <c r="H605" s="12">
        <v>1</v>
      </c>
      <c r="I605" s="13" t="str">
        <f>HYPERLINK("http://www.ncbi.nlm.nih.gov/gene/5436", "5436")</f>
        <v>5436</v>
      </c>
      <c r="J605" s="13" t="str">
        <f>HYPERLINK("http://www.ncbi.nlm.nih.gov/nuccore/NM_002696", "NM_002696")</f>
        <v>NM_002696</v>
      </c>
      <c r="K605" s="12" t="s">
        <v>650</v>
      </c>
      <c r="L605" s="13" t="str">
        <f>HYPERLINK("http://asia.ensembl.org/Homo_sapiens/Gene/Summary?g=ENSG00000168002", "ENSG00000168002")</f>
        <v>ENSG00000168002</v>
      </c>
      <c r="M605" s="12" t="s">
        <v>18798</v>
      </c>
      <c r="N605" s="12" t="s">
        <v>18799</v>
      </c>
    </row>
    <row r="606" spans="1:14">
      <c r="A606" s="12" t="s">
        <v>6276</v>
      </c>
      <c r="B606" s="8">
        <v>1042.58065081679</v>
      </c>
      <c r="C606" s="12">
        <v>2681.67095008043</v>
      </c>
      <c r="D606" s="8">
        <v>-1.3629732342197101</v>
      </c>
      <c r="E606" s="12">
        <v>2.82270150262833E-3</v>
      </c>
      <c r="F606" s="8" t="s">
        <v>6277</v>
      </c>
      <c r="G606" s="12" t="s">
        <v>6278</v>
      </c>
      <c r="H606" s="12">
        <v>1</v>
      </c>
      <c r="I606" s="13" t="str">
        <f>HYPERLINK("http://www.ncbi.nlm.nih.gov/gene/80728", "80728")</f>
        <v>80728</v>
      </c>
      <c r="J606" s="13" t="str">
        <f>HYPERLINK("http://www.ncbi.nlm.nih.gov/nuccore/NM_025251", "NM_025251")</f>
        <v>NM_025251</v>
      </c>
      <c r="K606" s="12" t="s">
        <v>6279</v>
      </c>
      <c r="L606" s="13" t="str">
        <f>HYPERLINK("http://asia.ensembl.org/Homo_sapiens/Gene/Summary?g=ENSG00000147799", "ENSG00000147799")</f>
        <v>ENSG00000147799</v>
      </c>
      <c r="M606" s="12" t="s">
        <v>18111</v>
      </c>
      <c r="N606" s="12" t="s">
        <v>18112</v>
      </c>
    </row>
    <row r="607" spans="1:14">
      <c r="A607" s="12" t="s">
        <v>7966</v>
      </c>
      <c r="B607" s="8">
        <v>1842.6634392496801</v>
      </c>
      <c r="C607" s="12">
        <v>4734.7113706191503</v>
      </c>
      <c r="D607" s="8">
        <v>-1.36148389313217</v>
      </c>
      <c r="E607" s="12">
        <v>3.0130428926940598E-3</v>
      </c>
      <c r="F607" s="8" t="s">
        <v>4186</v>
      </c>
      <c r="G607" s="12" t="s">
        <v>17606</v>
      </c>
      <c r="H607" s="12">
        <v>1</v>
      </c>
      <c r="I607" s="13" t="str">
        <f>HYPERLINK("http://www.ncbi.nlm.nih.gov/gene/5827", "5827")</f>
        <v>5827</v>
      </c>
      <c r="J607" s="13" t="str">
        <f>HYPERLINK("http://www.ncbi.nlm.nih.gov/nuccore/NM_018663", "NM_018663")</f>
        <v>NM_018663</v>
      </c>
      <c r="K607" s="12" t="s">
        <v>4187</v>
      </c>
      <c r="L607" s="13" t="str">
        <f>HYPERLINK("http://asia.ensembl.org/Homo_sapiens/Gene/Summary?g=ENSG00000176894", "ENSG00000176894")</f>
        <v>ENSG00000176894</v>
      </c>
      <c r="M607" s="12" t="s">
        <v>17607</v>
      </c>
      <c r="N607" s="12" t="s">
        <v>17608</v>
      </c>
    </row>
    <row r="608" spans="1:14">
      <c r="A608" s="12" t="s">
        <v>11620</v>
      </c>
      <c r="B608" s="8">
        <v>813.96947637476705</v>
      </c>
      <c r="C608" s="12">
        <v>2090.69289849487</v>
      </c>
      <c r="D608" s="8">
        <v>-1.3609345603118701</v>
      </c>
      <c r="E608" s="12">
        <v>1.35528768266816E-3</v>
      </c>
      <c r="F608" s="8" t="s">
        <v>11621</v>
      </c>
      <c r="G608" s="12" t="s">
        <v>11622</v>
      </c>
      <c r="H608" s="12">
        <v>1</v>
      </c>
      <c r="I608" s="13" t="str">
        <f>HYPERLINK("http://www.ncbi.nlm.nih.gov/gene/4494", "4494")</f>
        <v>4494</v>
      </c>
      <c r="J608" s="12" t="s">
        <v>20149</v>
      </c>
      <c r="K608" s="12" t="s">
        <v>20150</v>
      </c>
      <c r="L608" s="13" t="str">
        <f>HYPERLINK("http://asia.ensembl.org/Homo_sapiens/Gene/Summary?g=ENSG00000198417", "ENSG00000198417")</f>
        <v>ENSG00000198417</v>
      </c>
      <c r="M608" s="12" t="s">
        <v>20151</v>
      </c>
      <c r="N608" s="12" t="s">
        <v>20152</v>
      </c>
    </row>
    <row r="609" spans="1:14">
      <c r="A609" s="12" t="s">
        <v>9349</v>
      </c>
      <c r="B609" s="8">
        <v>3014.5463261693699</v>
      </c>
      <c r="C609" s="12">
        <v>7742.2285284321497</v>
      </c>
      <c r="D609" s="8">
        <v>-1.36080799226445</v>
      </c>
      <c r="E609" s="12">
        <v>4.8613869684528497E-3</v>
      </c>
      <c r="F609" s="8" t="s">
        <v>9350</v>
      </c>
      <c r="G609" s="12" t="s">
        <v>352</v>
      </c>
      <c r="H609" s="12">
        <v>1</v>
      </c>
      <c r="I609" s="13" t="str">
        <f>HYPERLINK("http://www.ncbi.nlm.nih.gov/gene/256281", "256281")</f>
        <v>256281</v>
      </c>
      <c r="J609" s="13" t="str">
        <f>HYPERLINK("http://www.ncbi.nlm.nih.gov/nuccore/NM_177533", "NM_177533")</f>
        <v>NM_177533</v>
      </c>
      <c r="K609" s="12" t="s">
        <v>9351</v>
      </c>
      <c r="L609" s="13" t="str">
        <f>HYPERLINK("http://asia.ensembl.org/Homo_sapiens/Gene/Summary?g=ENSG00000183828", "ENSG00000183828")</f>
        <v>ENSG00000183828</v>
      </c>
      <c r="M609" s="12" t="s">
        <v>19132</v>
      </c>
      <c r="N609" s="12" t="s">
        <v>19133</v>
      </c>
    </row>
    <row r="610" spans="1:14">
      <c r="A610" s="12" t="s">
        <v>1217</v>
      </c>
      <c r="B610" s="8">
        <v>7985.0524992417404</v>
      </c>
      <c r="C610" s="12">
        <v>20496.633254909601</v>
      </c>
      <c r="D610" s="8">
        <v>-1.36001315629581</v>
      </c>
      <c r="E610" s="12">
        <v>4.7947233023678997E-3</v>
      </c>
      <c r="F610" s="8" t="s">
        <v>1218</v>
      </c>
      <c r="G610" s="12" t="s">
        <v>104</v>
      </c>
      <c r="H610" s="12">
        <v>1</v>
      </c>
      <c r="I610" s="13" t="str">
        <f>HYPERLINK("http://www.ncbi.nlm.nih.gov/gene/5438", "5438")</f>
        <v>5438</v>
      </c>
      <c r="J610" s="13" t="str">
        <f>HYPERLINK("http://www.ncbi.nlm.nih.gov/nuccore/NM_006233", "NM_006233")</f>
        <v>NM_006233</v>
      </c>
      <c r="K610" s="12" t="s">
        <v>1219</v>
      </c>
      <c r="L610" s="13" t="str">
        <f>HYPERLINK("http://asia.ensembl.org/Homo_sapiens/Gene/Summary?g=ENSG00000105258", "ENSG00000105258")</f>
        <v>ENSG00000105258</v>
      </c>
      <c r="M610" s="12" t="s">
        <v>16543</v>
      </c>
      <c r="N610" s="12" t="s">
        <v>16544</v>
      </c>
    </row>
    <row r="611" spans="1:14">
      <c r="A611" s="12" t="s">
        <v>7373</v>
      </c>
      <c r="B611" s="8">
        <v>420.69407526045097</v>
      </c>
      <c r="C611" s="12">
        <v>1079.8641526262199</v>
      </c>
      <c r="D611" s="8">
        <v>-1.3600064266199701</v>
      </c>
      <c r="E611" s="12">
        <v>1.3217024408722401E-3</v>
      </c>
      <c r="F611" s="8" t="s">
        <v>7374</v>
      </c>
      <c r="G611" s="12" t="s">
        <v>7375</v>
      </c>
      <c r="H611" s="12">
        <v>1</v>
      </c>
      <c r="I611" s="13" t="str">
        <f>HYPERLINK("http://www.ncbi.nlm.nih.gov/gene/83543", "83543")</f>
        <v>83543</v>
      </c>
      <c r="J611" s="12" t="s">
        <v>18490</v>
      </c>
      <c r="K611" s="12" t="s">
        <v>18491</v>
      </c>
      <c r="L611" s="13" t="str">
        <f>HYPERLINK("http://asia.ensembl.org/Homo_sapiens/Gene/Summary?g=ENSG00000126878", "ENSG00000126878")</f>
        <v>ENSG00000126878</v>
      </c>
      <c r="M611" s="12" t="s">
        <v>18492</v>
      </c>
      <c r="N611" s="12" t="s">
        <v>18493</v>
      </c>
    </row>
    <row r="612" spans="1:14">
      <c r="A612" s="12" t="s">
        <v>4058</v>
      </c>
      <c r="B612" s="8">
        <v>38920.362282067799</v>
      </c>
      <c r="C612" s="12">
        <v>99875.377513720203</v>
      </c>
      <c r="D612" s="8">
        <v>-1.3596039120113601</v>
      </c>
      <c r="E612" s="12">
        <v>3.1123657199782699E-3</v>
      </c>
      <c r="F612" s="8" t="s">
        <v>4059</v>
      </c>
      <c r="G612" s="12" t="s">
        <v>17528</v>
      </c>
      <c r="H612" s="12">
        <v>1</v>
      </c>
      <c r="I612" s="13" t="str">
        <f>HYPERLINK("http://www.ncbi.nlm.nih.gov/gene/6748", "6748")</f>
        <v>6748</v>
      </c>
      <c r="J612" s="12" t="s">
        <v>17529</v>
      </c>
      <c r="K612" s="12" t="s">
        <v>17530</v>
      </c>
      <c r="L612" s="13" t="str">
        <f>HYPERLINK("http://asia.ensembl.org/Homo_sapiens/Gene/Summary?g=ENSG00000180879", "ENSG00000180879")</f>
        <v>ENSG00000180879</v>
      </c>
      <c r="M612" s="12" t="s">
        <v>17531</v>
      </c>
      <c r="N612" s="12" t="s">
        <v>17532</v>
      </c>
    </row>
    <row r="613" spans="1:14">
      <c r="A613" s="12" t="s">
        <v>10344</v>
      </c>
      <c r="B613" s="8">
        <v>1447.70241832804</v>
      </c>
      <c r="C613" s="12">
        <v>3711.2794904419602</v>
      </c>
      <c r="D613" s="8">
        <v>-1.3581515716388699</v>
      </c>
      <c r="E613" s="12">
        <v>1.9873922179023699E-3</v>
      </c>
      <c r="F613" s="8" t="s">
        <v>4232</v>
      </c>
      <c r="G613" s="12" t="s">
        <v>4233</v>
      </c>
      <c r="H613" s="12">
        <v>1</v>
      </c>
      <c r="I613" s="13" t="str">
        <f>HYPERLINK("http://www.ncbi.nlm.nih.gov/gene/128977", "128977")</f>
        <v>128977</v>
      </c>
      <c r="J613" s="13" t="str">
        <f>HYPERLINK("http://www.ncbi.nlm.nih.gov/nuccore/NM_173793", "NM_173793")</f>
        <v>NM_173793</v>
      </c>
      <c r="K613" s="12" t="s">
        <v>10345</v>
      </c>
      <c r="L613" s="13" t="str">
        <f>HYPERLINK("http://asia.ensembl.org/Homo_sapiens/Gene/Summary?g=ENSG00000242259", "ENSG00000242259")</f>
        <v>ENSG00000242259</v>
      </c>
      <c r="M613" s="12" t="s">
        <v>19679</v>
      </c>
      <c r="N613" s="12" t="s">
        <v>19680</v>
      </c>
    </row>
    <row r="614" spans="1:14">
      <c r="A614" s="12" t="s">
        <v>9813</v>
      </c>
      <c r="B614" s="8">
        <v>1093.37739352475</v>
      </c>
      <c r="C614" s="12">
        <v>2801.4472830918198</v>
      </c>
      <c r="D614" s="8">
        <v>-1.3573808925084301</v>
      </c>
      <c r="E614" s="12">
        <v>1.25361500211886E-3</v>
      </c>
      <c r="F614" s="8" t="s">
        <v>2748</v>
      </c>
      <c r="G614" s="12" t="s">
        <v>17101</v>
      </c>
      <c r="H614" s="12">
        <v>1</v>
      </c>
      <c r="I614" s="13" t="str">
        <f>HYPERLINK("http://www.ncbi.nlm.nih.gov/gene/3017", "3017")</f>
        <v>3017</v>
      </c>
      <c r="J614" s="12" t="s">
        <v>19350</v>
      </c>
      <c r="K614" s="12" t="s">
        <v>19351</v>
      </c>
      <c r="L614" s="13" t="str">
        <f>HYPERLINK("http://asia.ensembl.org/Homo_sapiens/Gene/Summary?g=ENSG00000158373", "ENSG00000158373")</f>
        <v>ENSG00000158373</v>
      </c>
      <c r="M614" s="12" t="s">
        <v>17102</v>
      </c>
      <c r="N614" s="12" t="s">
        <v>17103</v>
      </c>
    </row>
    <row r="615" spans="1:14">
      <c r="A615" s="12" t="s">
        <v>3714</v>
      </c>
      <c r="B615" s="8">
        <v>624.252558074577</v>
      </c>
      <c r="C615" s="12">
        <v>1598.67591979751</v>
      </c>
      <c r="D615" s="8">
        <v>-1.35667577518645</v>
      </c>
      <c r="E615" s="12">
        <v>3.6763010090691199E-3</v>
      </c>
      <c r="F615" s="8" t="s">
        <v>3715</v>
      </c>
      <c r="G615" s="12" t="s">
        <v>17388</v>
      </c>
      <c r="H615" s="12">
        <v>1</v>
      </c>
      <c r="I615" s="13" t="str">
        <f>HYPERLINK("http://www.ncbi.nlm.nih.gov/gene/35", "35")</f>
        <v>35</v>
      </c>
      <c r="J615" s="13" t="str">
        <f>HYPERLINK("http://www.ncbi.nlm.nih.gov/nuccore/NM_000017", "NM_000017")</f>
        <v>NM_000017</v>
      </c>
      <c r="K615" s="12" t="s">
        <v>3716</v>
      </c>
      <c r="L615" s="13" t="str">
        <f>HYPERLINK("http://asia.ensembl.org/Homo_sapiens/Gene/Summary?g=ENSG00000122971", "ENSG00000122971")</f>
        <v>ENSG00000122971</v>
      </c>
      <c r="M615" s="12" t="s">
        <v>17389</v>
      </c>
      <c r="N615" s="12" t="s">
        <v>17390</v>
      </c>
    </row>
    <row r="616" spans="1:14">
      <c r="A616" s="12" t="s">
        <v>10329</v>
      </c>
      <c r="B616" s="8">
        <v>249.312163391826</v>
      </c>
      <c r="C616" s="12">
        <v>638.27762017386101</v>
      </c>
      <c r="D616" s="8">
        <v>-1.3562307932322</v>
      </c>
      <c r="E616" s="12">
        <v>3.7991796059423902E-3</v>
      </c>
      <c r="F616" s="8" t="s">
        <v>10330</v>
      </c>
      <c r="G616" s="12" t="s">
        <v>2134</v>
      </c>
      <c r="H616" s="12">
        <v>1</v>
      </c>
      <c r="I616" s="13" t="str">
        <f>HYPERLINK("http://www.ncbi.nlm.nih.gov/gene/64711", "64711")</f>
        <v>64711</v>
      </c>
      <c r="J616" s="13" t="str">
        <f>HYPERLINK("http://www.ncbi.nlm.nih.gov/nuccore/NM_001009606", "NM_001009606")</f>
        <v>NM_001009606</v>
      </c>
      <c r="K616" s="12" t="s">
        <v>10331</v>
      </c>
      <c r="L616" s="13" t="str">
        <f>HYPERLINK("http://asia.ensembl.org/Homo_sapiens/Gene/Summary?g=ENSG00000276333", "ENSG00000276333")</f>
        <v>ENSG00000276333</v>
      </c>
      <c r="M616" s="12" t="s">
        <v>10332</v>
      </c>
      <c r="N616" s="12" t="s">
        <v>10333</v>
      </c>
    </row>
    <row r="617" spans="1:14">
      <c r="A617" s="12" t="s">
        <v>7506</v>
      </c>
      <c r="B617" s="8">
        <v>70.708134103885499</v>
      </c>
      <c r="C617" s="12">
        <v>180.98801140170201</v>
      </c>
      <c r="D617" s="8">
        <v>-1.3559460426632599</v>
      </c>
      <c r="E617" s="12">
        <v>4.3875513359407396E-3</v>
      </c>
      <c r="F617" s="8" t="s">
        <v>7507</v>
      </c>
      <c r="G617" s="12" t="s">
        <v>7508</v>
      </c>
      <c r="H617" s="12">
        <v>1</v>
      </c>
      <c r="I617" s="13" t="str">
        <f>HYPERLINK("http://www.ncbi.nlm.nih.gov/gene/389023", "389023")</f>
        <v>389023</v>
      </c>
      <c r="J617" s="13" t="str">
        <f>HYPERLINK("http://www.ncbi.nlm.nih.gov/nuccore/NR_036580", "NR_036580")</f>
        <v>NR_036580</v>
      </c>
      <c r="K617" s="12" t="s">
        <v>199</v>
      </c>
      <c r="L617" s="13" t="str">
        <f>HYPERLINK("http://asia.ensembl.org/Homo_sapiens/Gene/Summary?g=ENSG00000235026", "ENSG00000235026")</f>
        <v>ENSG00000235026</v>
      </c>
      <c r="M617" s="12" t="s">
        <v>18554</v>
      </c>
    </row>
    <row r="618" spans="1:14">
      <c r="A618" s="12" t="s">
        <v>10355</v>
      </c>
      <c r="B618" s="8">
        <v>2120.3462474210501</v>
      </c>
      <c r="C618" s="12">
        <v>5426.7010701008603</v>
      </c>
      <c r="D618" s="8">
        <v>-1.3557755673521199</v>
      </c>
      <c r="E618" s="12">
        <v>3.6483238309414299E-4</v>
      </c>
      <c r="F618" s="8" t="s">
        <v>8172</v>
      </c>
      <c r="G618" s="12" t="s">
        <v>8173</v>
      </c>
      <c r="H618" s="12">
        <v>1</v>
      </c>
      <c r="I618" s="13" t="str">
        <f>HYPERLINK("http://www.ncbi.nlm.nih.gov/gene/199990", "199990")</f>
        <v>199990</v>
      </c>
      <c r="J618" s="12" t="s">
        <v>18738</v>
      </c>
      <c r="K618" s="12" t="s">
        <v>18739</v>
      </c>
      <c r="L618" s="13" t="str">
        <f>HYPERLINK("http://asia.ensembl.org/Homo_sapiens/Gene/Summary?g=ENSG00000162585", "ENSG00000162585")</f>
        <v>ENSG00000162585</v>
      </c>
      <c r="M618" s="12" t="s">
        <v>18740</v>
      </c>
      <c r="N618" s="12" t="s">
        <v>18741</v>
      </c>
    </row>
    <row r="619" spans="1:14">
      <c r="A619" s="12" t="s">
        <v>3125</v>
      </c>
      <c r="B619" s="8">
        <v>10499.972316092</v>
      </c>
      <c r="C619" s="12">
        <v>26867.9429946891</v>
      </c>
      <c r="D619" s="8">
        <v>-1.35550034895267</v>
      </c>
      <c r="E619" s="12">
        <v>1.9084758113768301E-3</v>
      </c>
      <c r="F619" s="8" t="s">
        <v>3126</v>
      </c>
      <c r="G619" s="12" t="s">
        <v>3127</v>
      </c>
      <c r="H619" s="12">
        <v>1</v>
      </c>
      <c r="I619" s="13" t="str">
        <f>HYPERLINK("http://www.ncbi.nlm.nih.gov/gene/284361", "284361")</f>
        <v>284361</v>
      </c>
      <c r="J619" s="12" t="s">
        <v>17205</v>
      </c>
      <c r="K619" s="12" t="s">
        <v>17206</v>
      </c>
      <c r="L619" s="13" t="str">
        <f>HYPERLINK("http://asia.ensembl.org/Homo_sapiens/Gene/Summary?g=ENSG00000161671", "ENSG00000161671")</f>
        <v>ENSG00000161671</v>
      </c>
      <c r="M619" s="12" t="s">
        <v>17207</v>
      </c>
      <c r="N619" s="12" t="s">
        <v>17208</v>
      </c>
    </row>
    <row r="620" spans="1:14">
      <c r="A620" s="12" t="s">
        <v>517</v>
      </c>
      <c r="B620" s="8">
        <v>30174.660674536601</v>
      </c>
      <c r="C620" s="12">
        <v>77209.440568900798</v>
      </c>
      <c r="D620" s="8">
        <v>-1.3554397123686399</v>
      </c>
      <c r="E620" s="12">
        <v>3.1569351015886902E-3</v>
      </c>
      <c r="F620" s="8" t="s">
        <v>518</v>
      </c>
      <c r="G620" s="12" t="s">
        <v>519</v>
      </c>
      <c r="H620" s="12">
        <v>1</v>
      </c>
      <c r="I620" s="13" t="str">
        <f>HYPERLINK("http://www.ncbi.nlm.nih.gov/gene/23480", "23480")</f>
        <v>23480</v>
      </c>
      <c r="J620" s="12" t="s">
        <v>16362</v>
      </c>
      <c r="K620" s="12" t="s">
        <v>16363</v>
      </c>
      <c r="L620" s="13" t="str">
        <f>HYPERLINK("http://asia.ensembl.org/Homo_sapiens/Gene/Summary?g=ENSG00000132432", "ENSG00000132432")</f>
        <v>ENSG00000132432</v>
      </c>
      <c r="M620" s="12" t="s">
        <v>16364</v>
      </c>
      <c r="N620" s="12" t="s">
        <v>16365</v>
      </c>
    </row>
    <row r="621" spans="1:14">
      <c r="A621" s="12" t="s">
        <v>5847</v>
      </c>
      <c r="B621" s="8">
        <v>19711.208504384002</v>
      </c>
      <c r="C621" s="12">
        <v>50429.509236515398</v>
      </c>
      <c r="D621" s="8">
        <v>-1.3552519540555601</v>
      </c>
      <c r="E621" s="12">
        <v>7.3255788066822801E-3</v>
      </c>
      <c r="F621" s="8" t="s">
        <v>5848</v>
      </c>
      <c r="G621" s="12" t="s">
        <v>5849</v>
      </c>
      <c r="H621" s="12">
        <v>1</v>
      </c>
      <c r="I621" s="13" t="str">
        <f>HYPERLINK("http://www.ncbi.nlm.nih.gov/gene/5479", "5479")</f>
        <v>5479</v>
      </c>
      <c r="J621" s="13" t="str">
        <f>HYPERLINK("http://www.ncbi.nlm.nih.gov/nuccore/NM_000942", "NM_000942")</f>
        <v>NM_000942</v>
      </c>
      <c r="K621" s="12" t="s">
        <v>5850</v>
      </c>
      <c r="L621" s="13" t="str">
        <f>HYPERLINK("http://asia.ensembl.org/Homo_sapiens/Gene/Summary?g=ENSG00000166794", "ENSG00000166794")</f>
        <v>ENSG00000166794</v>
      </c>
      <c r="M621" s="12" t="s">
        <v>17992</v>
      </c>
      <c r="N621" s="12" t="s">
        <v>5851</v>
      </c>
    </row>
    <row r="622" spans="1:14">
      <c r="A622" s="12" t="s">
        <v>11033</v>
      </c>
      <c r="B622" s="8">
        <v>1026.99249122673</v>
      </c>
      <c r="C622" s="12">
        <v>2627.18372826416</v>
      </c>
      <c r="D622" s="8">
        <v>-1.35509146322862</v>
      </c>
      <c r="E622" s="12">
        <v>1.18178003469422E-3</v>
      </c>
      <c r="F622" s="8" t="s">
        <v>6623</v>
      </c>
      <c r="G622" s="12" t="s">
        <v>6624</v>
      </c>
      <c r="H622" s="12">
        <v>1</v>
      </c>
      <c r="I622" s="13" t="str">
        <f>HYPERLINK("http://www.ncbi.nlm.nih.gov/gene/81669", "81669")</f>
        <v>81669</v>
      </c>
      <c r="J622" s="13" t="str">
        <f>HYPERLINK("http://www.ncbi.nlm.nih.gov/nuccore/NM_001039577", "NM_001039577")</f>
        <v>NM_001039577</v>
      </c>
      <c r="K622" s="12" t="s">
        <v>11034</v>
      </c>
      <c r="L622" s="13" t="str">
        <f>HYPERLINK("http://asia.ensembl.org/Homo_sapiens/Gene/Summary?g=ENSG00000221978", "ENSG00000221978")</f>
        <v>ENSG00000221978</v>
      </c>
      <c r="M622" s="12" t="s">
        <v>15117</v>
      </c>
      <c r="N622" s="12" t="s">
        <v>15118</v>
      </c>
    </row>
    <row r="623" spans="1:14">
      <c r="A623" s="12" t="s">
        <v>6583</v>
      </c>
      <c r="B623" s="8">
        <v>216.895383185881</v>
      </c>
      <c r="C623" s="12">
        <v>554.84096468095697</v>
      </c>
      <c r="D623" s="8">
        <v>-1.35507496350733</v>
      </c>
      <c r="E623" s="12">
        <v>8.9548510933299503E-4</v>
      </c>
      <c r="F623" s="8" t="s">
        <v>6584</v>
      </c>
      <c r="G623" s="12" t="s">
        <v>6585</v>
      </c>
      <c r="H623" s="12">
        <v>1</v>
      </c>
      <c r="I623" s="13" t="str">
        <f>HYPERLINK("http://www.ncbi.nlm.nih.gov/gene/1902", "1902")</f>
        <v>1902</v>
      </c>
      <c r="J623" s="12" t="s">
        <v>18216</v>
      </c>
      <c r="K623" s="12" t="s">
        <v>18217</v>
      </c>
      <c r="L623" s="13" t="str">
        <f>HYPERLINK("http://asia.ensembl.org/Homo_sapiens/Gene/Summary?g=ENSG00000198121", "ENSG00000198121")</f>
        <v>ENSG00000198121</v>
      </c>
      <c r="M623" s="12" t="s">
        <v>18218</v>
      </c>
      <c r="N623" s="12" t="s">
        <v>18219</v>
      </c>
    </row>
    <row r="624" spans="1:14">
      <c r="A624" s="12" t="s">
        <v>1597</v>
      </c>
      <c r="B624" s="8">
        <v>3625.0522242083798</v>
      </c>
      <c r="C624" s="12">
        <v>9267.5697827074891</v>
      </c>
      <c r="D624" s="8">
        <v>-1.35418929383216</v>
      </c>
      <c r="E624" s="12">
        <v>4.2108008922756004E-3</v>
      </c>
      <c r="F624" s="8" t="s">
        <v>1598</v>
      </c>
      <c r="G624" s="12" t="s">
        <v>1599</v>
      </c>
      <c r="H624" s="12">
        <v>1</v>
      </c>
      <c r="I624" s="13" t="str">
        <f>HYPERLINK("http://www.ncbi.nlm.nih.gov/gene/65057", "65057")</f>
        <v>65057</v>
      </c>
      <c r="J624" s="12" t="s">
        <v>16699</v>
      </c>
      <c r="K624" s="12" t="s">
        <v>16700</v>
      </c>
      <c r="L624" s="13" t="str">
        <f>HYPERLINK("http://asia.ensembl.org/Homo_sapiens/Gene/Summary?g=ENSG00000102977", "ENSG00000102977")</f>
        <v>ENSG00000102977</v>
      </c>
      <c r="M624" s="12" t="s">
        <v>16701</v>
      </c>
      <c r="N624" s="12" t="s">
        <v>16702</v>
      </c>
    </row>
    <row r="625" spans="1:14">
      <c r="A625" s="12" t="s">
        <v>4244</v>
      </c>
      <c r="B625" s="8">
        <v>1965.1660209120801</v>
      </c>
      <c r="C625" s="12">
        <v>5023.0365844849002</v>
      </c>
      <c r="D625" s="8">
        <v>-1.35390858347087</v>
      </c>
      <c r="E625" s="12">
        <v>1.7373796159959401E-4</v>
      </c>
      <c r="F625" s="8" t="s">
        <v>4245</v>
      </c>
      <c r="G625" s="12" t="s">
        <v>352</v>
      </c>
      <c r="H625" s="12">
        <v>1</v>
      </c>
      <c r="I625" s="13" t="str">
        <f>HYPERLINK("http://www.ncbi.nlm.nih.gov/gene/254552", "254552")</f>
        <v>254552</v>
      </c>
      <c r="J625" s="12" t="s">
        <v>17626</v>
      </c>
      <c r="K625" s="12" t="s">
        <v>17627</v>
      </c>
      <c r="L625" s="13" t="str">
        <f>HYPERLINK("http://asia.ensembl.org/Homo_sapiens/Gene/Summary?g=ENSG00000167799", "ENSG00000167799")</f>
        <v>ENSG00000167799</v>
      </c>
      <c r="M625" s="12" t="s">
        <v>17628</v>
      </c>
      <c r="N625" s="12" t="s">
        <v>17629</v>
      </c>
    </row>
    <row r="626" spans="1:14">
      <c r="A626" s="12" t="s">
        <v>8049</v>
      </c>
      <c r="B626" s="8">
        <v>49.999999999999901</v>
      </c>
      <c r="C626" s="12">
        <v>127.772036526975</v>
      </c>
      <c r="D626" s="8">
        <v>-1.35357213066571</v>
      </c>
      <c r="E626" s="12">
        <v>3.1620597311185497E-5</v>
      </c>
      <c r="F626" s="8" t="s">
        <v>8050</v>
      </c>
      <c r="G626" s="12" t="s">
        <v>18709</v>
      </c>
      <c r="H626" s="12">
        <v>1</v>
      </c>
      <c r="I626" s="13" t="str">
        <f>HYPERLINK("http://www.ncbi.nlm.nih.gov/gene/6092", "6092")</f>
        <v>6092</v>
      </c>
      <c r="J626" s="13" t="str">
        <f>HYPERLINK("http://www.ncbi.nlm.nih.gov/nuccore/NM_001128929", "NM_001128929")</f>
        <v>NM_001128929</v>
      </c>
      <c r="K626" s="12" t="s">
        <v>8051</v>
      </c>
      <c r="L626" s="13" t="str">
        <f>HYPERLINK("http://asia.ensembl.org/Homo_sapiens/Gene/Summary?g=ENSG00000185008", "ENSG00000185008")</f>
        <v>ENSG00000185008</v>
      </c>
      <c r="M626" s="12" t="s">
        <v>18710</v>
      </c>
      <c r="N626" s="12" t="s">
        <v>18711</v>
      </c>
    </row>
    <row r="627" spans="1:14">
      <c r="A627" s="12" t="s">
        <v>8788</v>
      </c>
      <c r="B627" s="8">
        <v>5245.2005932893699</v>
      </c>
      <c r="C627" s="12">
        <v>13400.596169643901</v>
      </c>
      <c r="D627" s="8">
        <v>-1.3532273328954001</v>
      </c>
      <c r="E627" s="12">
        <v>5.6613838802862197E-3</v>
      </c>
      <c r="F627" s="8" t="s">
        <v>8789</v>
      </c>
      <c r="G627" s="12" t="s">
        <v>8790</v>
      </c>
      <c r="H627" s="12">
        <v>1</v>
      </c>
      <c r="I627" s="13" t="str">
        <f>HYPERLINK("http://www.ncbi.nlm.nih.gov/gene/57291", "57291")</f>
        <v>57291</v>
      </c>
      <c r="J627" s="13" t="str">
        <f>HYPERLINK("http://www.ncbi.nlm.nih.gov/nuccore/NR_024031", "NR_024031")</f>
        <v>NR_024031</v>
      </c>
      <c r="K627" s="12" t="s">
        <v>199</v>
      </c>
      <c r="L627" s="13" t="str">
        <f>HYPERLINK("http://asia.ensembl.org/Homo_sapiens/Gene/Summary?g=ENSG00000226950", "ENSG00000226950")</f>
        <v>ENSG00000226950</v>
      </c>
      <c r="M627" s="12" t="s">
        <v>18963</v>
      </c>
    </row>
    <row r="628" spans="1:14">
      <c r="A628" s="12" t="s">
        <v>1440</v>
      </c>
      <c r="B628" s="8">
        <v>1469.0199188751401</v>
      </c>
      <c r="C628" s="12">
        <v>3747.5305821204602</v>
      </c>
      <c r="D628" s="8">
        <v>-1.35108629353178</v>
      </c>
      <c r="E628" s="12">
        <v>5.8391057086017301E-3</v>
      </c>
      <c r="F628" s="8" t="s">
        <v>1441</v>
      </c>
      <c r="G628" s="12" t="s">
        <v>16625</v>
      </c>
      <c r="H628" s="12">
        <v>1</v>
      </c>
      <c r="I628" s="13" t="str">
        <f>HYPERLINK("http://www.ncbi.nlm.nih.gov/gene/10633", "10633")</f>
        <v>10633</v>
      </c>
      <c r="J628" s="13" t="str">
        <f>HYPERLINK("http://www.ncbi.nlm.nih.gov/nuccore/NM_006477", "NM_006477")</f>
        <v>NM_006477</v>
      </c>
      <c r="K628" s="12" t="s">
        <v>1442</v>
      </c>
      <c r="L628" s="13" t="str">
        <f>HYPERLINK("http://asia.ensembl.org/Homo_sapiens/Gene/Summary?g=ENSG00000100276", "ENSG00000100276")</f>
        <v>ENSG00000100276</v>
      </c>
      <c r="M628" s="12" t="s">
        <v>16626</v>
      </c>
      <c r="N628" s="12" t="s">
        <v>16627</v>
      </c>
    </row>
    <row r="629" spans="1:14">
      <c r="A629" s="12" t="s">
        <v>7669</v>
      </c>
      <c r="B629" s="8">
        <v>2632.9514762845802</v>
      </c>
      <c r="C629" s="12">
        <v>6712.2438606293699</v>
      </c>
      <c r="D629" s="8">
        <v>-1.3501141972492701</v>
      </c>
      <c r="E629" s="12">
        <v>2.9262351776959401E-3</v>
      </c>
      <c r="F629" s="8" t="s">
        <v>4830</v>
      </c>
      <c r="G629" s="12" t="s">
        <v>286</v>
      </c>
      <c r="H629" s="12">
        <v>1</v>
      </c>
      <c r="I629" s="13" t="str">
        <f>HYPERLINK("http://www.ncbi.nlm.nih.gov/gene/4731", "4731")</f>
        <v>4731</v>
      </c>
      <c r="J629" s="12" t="s">
        <v>18609</v>
      </c>
      <c r="K629" s="12" t="s">
        <v>18610</v>
      </c>
      <c r="L629" s="13" t="str">
        <f>HYPERLINK("http://asia.ensembl.org/Homo_sapiens/Gene/Summary?g=ENSG00000160194", "ENSG00000160194")</f>
        <v>ENSG00000160194</v>
      </c>
      <c r="M629" s="12" t="s">
        <v>18611</v>
      </c>
      <c r="N629" s="12" t="s">
        <v>18612</v>
      </c>
    </row>
    <row r="630" spans="1:14">
      <c r="A630" s="12" t="s">
        <v>7883</v>
      </c>
      <c r="B630" s="8">
        <v>77.165139397579296</v>
      </c>
      <c r="C630" s="12">
        <v>196.70633837026301</v>
      </c>
      <c r="D630" s="8">
        <v>-1.35002230669298</v>
      </c>
      <c r="E630" s="12">
        <v>8.0352903350223506E-3</v>
      </c>
      <c r="F630" s="8" t="s">
        <v>7884</v>
      </c>
      <c r="G630" s="12" t="s">
        <v>7885</v>
      </c>
      <c r="H630" s="12">
        <v>1</v>
      </c>
      <c r="I630" s="13" t="str">
        <f>HYPERLINK("http://www.ncbi.nlm.nih.gov/gene/374955", "374955")</f>
        <v>374955</v>
      </c>
      <c r="J630" s="13" t="str">
        <f>HYPERLINK("http://www.ncbi.nlm.nih.gov/nuccore/NM_198546", "NM_198546")</f>
        <v>NM_198546</v>
      </c>
      <c r="K630" s="12" t="s">
        <v>7886</v>
      </c>
      <c r="L630" s="13" t="str">
        <f>HYPERLINK("http://asia.ensembl.org/Homo_sapiens/Gene/Summary?g=ENSG00000187144", "ENSG00000187144")</f>
        <v>ENSG00000187144</v>
      </c>
      <c r="M630" s="12" t="s">
        <v>18656</v>
      </c>
      <c r="N630" s="12" t="s">
        <v>18657</v>
      </c>
    </row>
    <row r="631" spans="1:14">
      <c r="A631" s="12" t="s">
        <v>1658</v>
      </c>
      <c r="B631" s="8">
        <v>26562.844495446599</v>
      </c>
      <c r="C631" s="12">
        <v>67710.541210067706</v>
      </c>
      <c r="D631" s="8">
        <v>-1.34997080407722</v>
      </c>
      <c r="E631" s="12">
        <v>5.1442969121705297E-3</v>
      </c>
      <c r="F631" s="8" t="s">
        <v>1659</v>
      </c>
      <c r="G631" s="12" t="s">
        <v>1660</v>
      </c>
      <c r="H631" s="12">
        <v>1</v>
      </c>
      <c r="I631" s="13" t="str">
        <f>HYPERLINK("http://www.ncbi.nlm.nih.gov/gene/9768", "9768")</f>
        <v>9768</v>
      </c>
      <c r="J631" s="13" t="str">
        <f>HYPERLINK("http://www.ncbi.nlm.nih.gov/nuccore/NM_014736", "NM_014736")</f>
        <v>NM_014736</v>
      </c>
      <c r="K631" s="12" t="s">
        <v>1661</v>
      </c>
      <c r="L631" s="13" t="str">
        <f>HYPERLINK("http://asia.ensembl.org/Homo_sapiens/Gene/Summary?g=ENSG00000166803", "ENSG00000166803")</f>
        <v>ENSG00000166803</v>
      </c>
      <c r="M631" s="12" t="s">
        <v>16737</v>
      </c>
      <c r="N631" s="12" t="s">
        <v>16738</v>
      </c>
    </row>
    <row r="632" spans="1:14">
      <c r="A632" s="12" t="s">
        <v>10297</v>
      </c>
      <c r="B632" s="8">
        <v>1623.3338002671601</v>
      </c>
      <c r="C632" s="12">
        <v>4137.3978247990999</v>
      </c>
      <c r="D632" s="8">
        <v>-1.3497639976903699</v>
      </c>
      <c r="E632" s="12">
        <v>5.7865835127492203E-4</v>
      </c>
      <c r="F632" s="8" t="s">
        <v>2629</v>
      </c>
      <c r="G632" s="12" t="s">
        <v>2630</v>
      </c>
      <c r="H632" s="12">
        <v>1</v>
      </c>
      <c r="I632" s="13" t="str">
        <f>HYPERLINK("http://www.ncbi.nlm.nih.gov/gene/10024", "10024")</f>
        <v>10024</v>
      </c>
      <c r="J632" s="13" t="str">
        <f>HYPERLINK("http://www.ncbi.nlm.nih.gov/nuccore/NM_001100620", "NM_001100620")</f>
        <v>NM_001100620</v>
      </c>
      <c r="K632" s="12" t="s">
        <v>10298</v>
      </c>
      <c r="L632" s="13" t="str">
        <f>HYPERLINK("http://asia.ensembl.org/Homo_sapiens/Gene/Summary?g=ENSG00000135451", "ENSG00000135451")</f>
        <v>ENSG00000135451</v>
      </c>
      <c r="M632" s="12" t="s">
        <v>19656</v>
      </c>
      <c r="N632" s="12" t="s">
        <v>19657</v>
      </c>
    </row>
    <row r="633" spans="1:14">
      <c r="A633" s="12" t="s">
        <v>7584</v>
      </c>
      <c r="B633" s="8">
        <v>12606.604758270299</v>
      </c>
      <c r="C633" s="12">
        <v>32128.6753035689</v>
      </c>
      <c r="D633" s="8">
        <v>-1.34968172050973</v>
      </c>
      <c r="E633" s="12">
        <v>2.6784707379746602E-3</v>
      </c>
      <c r="F633" s="8" t="s">
        <v>7585</v>
      </c>
      <c r="G633" s="12" t="s">
        <v>7586</v>
      </c>
      <c r="H633" s="12">
        <v>1</v>
      </c>
      <c r="I633" s="13" t="str">
        <f>HYPERLINK("http://www.ncbi.nlm.nih.gov/gene/10226", "10226")</f>
        <v>10226</v>
      </c>
      <c r="J633" s="12" t="s">
        <v>18584</v>
      </c>
      <c r="K633" s="12" t="s">
        <v>18585</v>
      </c>
      <c r="L633" s="13" t="str">
        <f>HYPERLINK("http://asia.ensembl.org/Homo_sapiens/Gene/Summary?g=ENSG00000105355", "ENSG00000105355")</f>
        <v>ENSG00000105355</v>
      </c>
      <c r="M633" s="12" t="s">
        <v>18586</v>
      </c>
      <c r="N633" s="12" t="s">
        <v>18587</v>
      </c>
    </row>
    <row r="634" spans="1:14">
      <c r="A634" s="12" t="s">
        <v>6798</v>
      </c>
      <c r="B634" s="8">
        <v>9412.6036943447707</v>
      </c>
      <c r="C634" s="12">
        <v>23985.642134122299</v>
      </c>
      <c r="D634" s="8">
        <v>-1.3495053048219099</v>
      </c>
      <c r="E634" s="12">
        <v>5.5865792734245798E-4</v>
      </c>
      <c r="F634" s="8" t="s">
        <v>6799</v>
      </c>
      <c r="G634" s="12" t="s">
        <v>6800</v>
      </c>
      <c r="H634" s="12">
        <v>4</v>
      </c>
      <c r="I634" s="12" t="s">
        <v>6801</v>
      </c>
      <c r="J634" s="12" t="s">
        <v>6802</v>
      </c>
      <c r="K634" s="12" t="s">
        <v>6803</v>
      </c>
      <c r="L634" s="12" t="s">
        <v>6804</v>
      </c>
      <c r="M634" s="12" t="s">
        <v>18267</v>
      </c>
      <c r="N634" s="12" t="s">
        <v>18268</v>
      </c>
    </row>
    <row r="635" spans="1:14">
      <c r="A635" s="12" t="s">
        <v>2355</v>
      </c>
      <c r="B635" s="8">
        <v>50</v>
      </c>
      <c r="C635" s="12">
        <v>127.326901065002</v>
      </c>
      <c r="D635" s="8">
        <v>-1.3485372576758701</v>
      </c>
      <c r="E635" s="12">
        <v>7.2795384214884998E-3</v>
      </c>
      <c r="F635" s="8" t="s">
        <v>2356</v>
      </c>
      <c r="G635" s="12" t="s">
        <v>2357</v>
      </c>
      <c r="H635" s="12">
        <v>1</v>
      </c>
      <c r="I635" s="13" t="str">
        <f>HYPERLINK("http://www.ncbi.nlm.nih.gov/gene/3375", "3375")</f>
        <v>3375</v>
      </c>
      <c r="J635" s="13" t="str">
        <f>HYPERLINK("http://www.ncbi.nlm.nih.gov/nuccore/NM_000415", "NM_000415")</f>
        <v>NM_000415</v>
      </c>
      <c r="K635" s="12" t="s">
        <v>2358</v>
      </c>
      <c r="L635" s="13" t="str">
        <f>HYPERLINK("http://asia.ensembl.org/Homo_sapiens/Gene/Summary?g=ENSG00000121351", "ENSG00000121351")</f>
        <v>ENSG00000121351</v>
      </c>
      <c r="M635" s="12" t="s">
        <v>16983</v>
      </c>
      <c r="N635" s="12" t="s">
        <v>16984</v>
      </c>
    </row>
    <row r="636" spans="1:14">
      <c r="A636" s="12" t="s">
        <v>10200</v>
      </c>
      <c r="B636" s="8">
        <v>44795.230910456303</v>
      </c>
      <c r="C636" s="12">
        <v>114068.55531614101</v>
      </c>
      <c r="D636" s="8">
        <v>-1.3484840960515101</v>
      </c>
      <c r="E636" s="12">
        <v>1.55562908761554E-2</v>
      </c>
      <c r="F636" s="8" t="s">
        <v>10201</v>
      </c>
      <c r="G636" s="12" t="s">
        <v>19582</v>
      </c>
      <c r="H636" s="12">
        <v>1</v>
      </c>
      <c r="I636" s="13" t="str">
        <f>HYPERLINK("http://www.ncbi.nlm.nih.gov/gene/522", "522")</f>
        <v>522</v>
      </c>
      <c r="J636" s="12" t="s">
        <v>19583</v>
      </c>
      <c r="K636" s="12" t="s">
        <v>19584</v>
      </c>
      <c r="L636" s="13" t="str">
        <f>HYPERLINK("http://asia.ensembl.org/Homo_sapiens/Gene/Summary?g=ENSG00000154723", "ENSG00000154723")</f>
        <v>ENSG00000154723</v>
      </c>
      <c r="M636" s="12" t="s">
        <v>19585</v>
      </c>
      <c r="N636" s="12" t="s">
        <v>19586</v>
      </c>
    </row>
    <row r="637" spans="1:14">
      <c r="A637" s="12" t="s">
        <v>2486</v>
      </c>
      <c r="B637" s="8">
        <v>373.05554076380901</v>
      </c>
      <c r="C637" s="12">
        <v>949.77348183521497</v>
      </c>
      <c r="D637" s="8">
        <v>-1.3481930400754301</v>
      </c>
      <c r="E637" s="12">
        <v>1.8693242084921101E-4</v>
      </c>
      <c r="F637" s="8" t="s">
        <v>2487</v>
      </c>
      <c r="G637" s="12" t="s">
        <v>2488</v>
      </c>
      <c r="H637" s="12">
        <v>1</v>
      </c>
      <c r="I637" s="13" t="str">
        <f>HYPERLINK("http://www.ncbi.nlm.nih.gov/gene/760", "760")</f>
        <v>760</v>
      </c>
      <c r="J637" s="13" t="str">
        <f>HYPERLINK("http://www.ncbi.nlm.nih.gov/nuccore/NM_000067", "NM_000067")</f>
        <v>NM_000067</v>
      </c>
      <c r="K637" s="12" t="s">
        <v>2489</v>
      </c>
      <c r="L637" s="13" t="str">
        <f>HYPERLINK("http://asia.ensembl.org/Homo_sapiens/Gene/Summary?g=ENSG00000104267", "ENSG00000104267")</f>
        <v>ENSG00000104267</v>
      </c>
      <c r="M637" s="12" t="s">
        <v>17014</v>
      </c>
      <c r="N637" s="12" t="s">
        <v>17015</v>
      </c>
    </row>
    <row r="638" spans="1:14">
      <c r="A638" s="12" t="s">
        <v>2058</v>
      </c>
      <c r="B638" s="8">
        <v>52021.045428980397</v>
      </c>
      <c r="C638" s="12">
        <v>132395.948444785</v>
      </c>
      <c r="D638" s="8">
        <v>-1.34769167627185</v>
      </c>
      <c r="E638" s="12">
        <v>3.3924640523307001E-3</v>
      </c>
      <c r="F638" s="8" t="s">
        <v>2059</v>
      </c>
      <c r="G638" s="12" t="s">
        <v>2060</v>
      </c>
      <c r="H638" s="12">
        <v>1</v>
      </c>
      <c r="I638" s="13" t="str">
        <f>HYPERLINK("http://www.ncbi.nlm.nih.gov/gene/9556", "9556")</f>
        <v>9556</v>
      </c>
      <c r="J638" s="12" t="s">
        <v>16904</v>
      </c>
      <c r="K638" s="12" t="s">
        <v>16905</v>
      </c>
      <c r="L638" s="13" t="str">
        <f>HYPERLINK("http://asia.ensembl.org/Homo_sapiens/Gene/Summary?g=ENSG00000156411", "ENSG00000156411")</f>
        <v>ENSG00000156411</v>
      </c>
      <c r="M638" s="12" t="s">
        <v>16906</v>
      </c>
      <c r="N638" s="12" t="s">
        <v>16907</v>
      </c>
    </row>
    <row r="639" spans="1:14">
      <c r="A639" s="12" t="s">
        <v>9995</v>
      </c>
      <c r="B639" s="8">
        <v>27907.546828664701</v>
      </c>
      <c r="C639" s="12">
        <v>71018.675802618294</v>
      </c>
      <c r="D639" s="8">
        <v>-1.3475431484413001</v>
      </c>
      <c r="E639" s="12">
        <v>8.6455329747995701E-4</v>
      </c>
      <c r="F639" s="8" t="s">
        <v>9996</v>
      </c>
      <c r="G639" s="12" t="s">
        <v>9997</v>
      </c>
      <c r="H639" s="12">
        <v>1</v>
      </c>
      <c r="I639" s="13" t="str">
        <f>HYPERLINK("http://www.ncbi.nlm.nih.gov/gene/64968", "64968")</f>
        <v>64968</v>
      </c>
      <c r="J639" s="13" t="str">
        <f>HYPERLINK("http://www.ncbi.nlm.nih.gov/nuccore/NM_032476", "NM_032476")</f>
        <v>NM_032476</v>
      </c>
      <c r="K639" s="12" t="s">
        <v>9998</v>
      </c>
      <c r="L639" s="13" t="str">
        <f>HYPERLINK("http://asia.ensembl.org/Homo_sapiens/Gene/Summary?g=ENSG00000243927", "ENSG00000243927")</f>
        <v>ENSG00000243927</v>
      </c>
      <c r="M639" s="12" t="s">
        <v>19497</v>
      </c>
      <c r="N639" s="12" t="s">
        <v>9999</v>
      </c>
    </row>
    <row r="640" spans="1:14">
      <c r="A640" s="12" t="s">
        <v>10361</v>
      </c>
      <c r="B640" s="8">
        <v>236.91780457301601</v>
      </c>
      <c r="C640" s="12">
        <v>602.74315686567195</v>
      </c>
      <c r="D640" s="8">
        <v>-1.34715674414368</v>
      </c>
      <c r="E640" s="12">
        <v>5.0238356882291696E-4</v>
      </c>
      <c r="F640" s="8" t="s">
        <v>8940</v>
      </c>
      <c r="G640" s="12" t="s">
        <v>8941</v>
      </c>
      <c r="H640" s="12">
        <v>1</v>
      </c>
      <c r="I640" s="13" t="str">
        <f>HYPERLINK("http://www.ncbi.nlm.nih.gov/gene/283726", "283726")</f>
        <v>283726</v>
      </c>
      <c r="J640" s="13" t="str">
        <f>HYPERLINK("http://www.ncbi.nlm.nih.gov/nuccore/NM_001008226", "NM_001008226")</f>
        <v>NM_001008226</v>
      </c>
      <c r="K640" s="12" t="s">
        <v>8942</v>
      </c>
      <c r="L640" s="13" t="str">
        <f>HYPERLINK("http://asia.ensembl.org/Homo_sapiens/Gene/Summary?g=ENSG00000188659", "ENSG00000188659")</f>
        <v>ENSG00000188659</v>
      </c>
      <c r="M640" s="12" t="s">
        <v>19696</v>
      </c>
      <c r="N640" s="12" t="s">
        <v>19697</v>
      </c>
    </row>
    <row r="641" spans="1:14">
      <c r="A641" s="12" t="s">
        <v>9940</v>
      </c>
      <c r="B641" s="8">
        <v>3127.7347412436202</v>
      </c>
      <c r="C641" s="12">
        <v>7954.9265924946603</v>
      </c>
      <c r="D641" s="8">
        <v>-1.34673045262013</v>
      </c>
      <c r="E641" s="12">
        <v>2.2246330675646801E-3</v>
      </c>
      <c r="F641" s="8" t="s">
        <v>5766</v>
      </c>
      <c r="G641" s="12" t="s">
        <v>5767</v>
      </c>
      <c r="H641" s="12">
        <v>1</v>
      </c>
      <c r="I641" s="13" t="str">
        <f>HYPERLINK("http://www.ncbi.nlm.nih.gov/gene/84545", "84545")</f>
        <v>84545</v>
      </c>
      <c r="J641" s="12" t="s">
        <v>19446</v>
      </c>
      <c r="K641" s="12" t="s">
        <v>19447</v>
      </c>
      <c r="L641" s="13" t="str">
        <f>HYPERLINK("http://asia.ensembl.org/Homo_sapiens/Gene/Summary?g=ENSG00000055950", "ENSG00000055950")</f>
        <v>ENSG00000055950</v>
      </c>
      <c r="M641" s="12" t="s">
        <v>19448</v>
      </c>
      <c r="N641" s="12" t="s">
        <v>19449</v>
      </c>
    </row>
    <row r="642" spans="1:14">
      <c r="A642" s="12" t="s">
        <v>8174</v>
      </c>
      <c r="B642" s="8">
        <v>199.68869945302001</v>
      </c>
      <c r="C642" s="12">
        <v>507.29469300950501</v>
      </c>
      <c r="D642" s="8">
        <v>-1.34507137620277</v>
      </c>
      <c r="E642" s="12">
        <v>1.20299029063699E-2</v>
      </c>
      <c r="F642" s="8" t="s">
        <v>8175</v>
      </c>
      <c r="G642" s="12" t="s">
        <v>18742</v>
      </c>
      <c r="H642" s="12">
        <v>1</v>
      </c>
      <c r="I642" s="13" t="str">
        <f>HYPERLINK("http://www.ncbi.nlm.nih.gov/gene/389208", "389208")</f>
        <v>389208</v>
      </c>
      <c r="J642" s="13" t="str">
        <f>HYPERLINK("http://www.ncbi.nlm.nih.gov/nuccore/NM_207407", "NM_207407")</f>
        <v>NM_207407</v>
      </c>
      <c r="K642" s="12" t="s">
        <v>8176</v>
      </c>
      <c r="L642" s="13" t="str">
        <f>HYPERLINK("http://asia.ensembl.org/Homo_sapiens/Gene/Summary?g=ENSG00000198092", "ENSG00000198092")</f>
        <v>ENSG00000198092</v>
      </c>
      <c r="M642" s="12" t="s">
        <v>8177</v>
      </c>
      <c r="N642" s="12" t="s">
        <v>8178</v>
      </c>
    </row>
    <row r="643" spans="1:14">
      <c r="A643" s="12" t="s">
        <v>4078</v>
      </c>
      <c r="B643" s="8">
        <v>152.037839171526</v>
      </c>
      <c r="C643" s="12">
        <v>385.99604546351702</v>
      </c>
      <c r="D643" s="8">
        <v>-1.34415564088888</v>
      </c>
      <c r="E643" s="12">
        <v>1.51221763200933E-2</v>
      </c>
      <c r="F643" s="8" t="s">
        <v>4079</v>
      </c>
      <c r="G643" s="12" t="s">
        <v>4080</v>
      </c>
      <c r="H643" s="12">
        <v>1</v>
      </c>
      <c r="I643" s="13" t="str">
        <f>HYPERLINK("http://www.ncbi.nlm.nih.gov/gene/9050", "9050")</f>
        <v>9050</v>
      </c>
      <c r="J643" s="13" t="str">
        <f>HYPERLINK("http://www.ncbi.nlm.nih.gov/nuccore/NM_024430", "NM_024430")</f>
        <v>NM_024430</v>
      </c>
      <c r="K643" s="12" t="s">
        <v>4081</v>
      </c>
      <c r="L643" s="13" t="str">
        <f>HYPERLINK("http://asia.ensembl.org/Homo_sapiens/Gene/Summary?g=ENSG00000152229", "ENSG00000152229")</f>
        <v>ENSG00000152229</v>
      </c>
      <c r="M643" s="12" t="s">
        <v>17541</v>
      </c>
      <c r="N643" s="12" t="s">
        <v>17542</v>
      </c>
    </row>
    <row r="644" spans="1:14">
      <c r="A644" s="12" t="s">
        <v>8842</v>
      </c>
      <c r="B644" s="8">
        <v>5160.26653912647</v>
      </c>
      <c r="C644" s="12">
        <v>13096.587343528499</v>
      </c>
      <c r="D644" s="8">
        <v>-1.34367343795602</v>
      </c>
      <c r="E644" s="12">
        <v>4.4846329517711997E-3</v>
      </c>
      <c r="F644" s="8" t="s">
        <v>1218</v>
      </c>
      <c r="G644" s="12" t="s">
        <v>104</v>
      </c>
      <c r="H644" s="12">
        <v>1</v>
      </c>
      <c r="I644" s="13" t="str">
        <f>HYPERLINK("http://www.ncbi.nlm.nih.gov/gene/5438", "5438")</f>
        <v>5438</v>
      </c>
      <c r="J644" s="13" t="str">
        <f>HYPERLINK("http://www.ncbi.nlm.nih.gov/nuccore/NM_006233", "NM_006233")</f>
        <v>NM_006233</v>
      </c>
      <c r="K644" s="12" t="s">
        <v>1219</v>
      </c>
      <c r="L644" s="13" t="str">
        <f>HYPERLINK("http://asia.ensembl.org/Homo_sapiens/Gene/Summary?g=ENSG00000105258", "ENSG00000105258")</f>
        <v>ENSG00000105258</v>
      </c>
      <c r="M644" s="12" t="s">
        <v>16543</v>
      </c>
      <c r="N644" s="12" t="s">
        <v>16544</v>
      </c>
    </row>
    <row r="645" spans="1:14">
      <c r="A645" s="12" t="s">
        <v>11059</v>
      </c>
      <c r="B645" s="8">
        <v>2978.7674858989099</v>
      </c>
      <c r="C645" s="12">
        <v>7552.0303619922497</v>
      </c>
      <c r="D645" s="8">
        <v>-1.3421490495673301</v>
      </c>
      <c r="E645" s="12">
        <v>1.4532456335713E-2</v>
      </c>
      <c r="F645" s="8" t="s">
        <v>11060</v>
      </c>
      <c r="G645" s="12" t="s">
        <v>19946</v>
      </c>
      <c r="H645" s="12">
        <v>1</v>
      </c>
      <c r="I645" s="13" t="str">
        <f>HYPERLINK("http://www.ncbi.nlm.nih.gov/gene/100507588", "100507588")</f>
        <v>100507588</v>
      </c>
      <c r="J645" s="13" t="str">
        <f>HYPERLINK("http://www.ncbi.nlm.nih.gov/nuccore/NM_001195259", "NM_001195259")</f>
        <v>NM_001195259</v>
      </c>
      <c r="K645" s="12" t="s">
        <v>11061</v>
      </c>
      <c r="L645" s="13" t="str">
        <f>HYPERLINK("http://asia.ensembl.org/Homo_sapiens/Gene/Summary?g=ENSG00000260001", "ENSG00000260001")</f>
        <v>ENSG00000260001</v>
      </c>
      <c r="M645" s="12" t="s">
        <v>19947</v>
      </c>
      <c r="N645" s="12" t="s">
        <v>11062</v>
      </c>
    </row>
    <row r="646" spans="1:14">
      <c r="A646" s="12" t="s">
        <v>8542</v>
      </c>
      <c r="B646" s="8">
        <v>24839.002484994398</v>
      </c>
      <c r="C646" s="12">
        <v>62967.170935338203</v>
      </c>
      <c r="D646" s="8">
        <v>-1.34199261246039</v>
      </c>
      <c r="E646" s="12">
        <v>8.5170582287130996E-4</v>
      </c>
      <c r="F646" s="8" t="s">
        <v>4066</v>
      </c>
      <c r="G646" s="12" t="s">
        <v>4067</v>
      </c>
      <c r="H646" s="12">
        <v>1</v>
      </c>
      <c r="I646" s="13" t="str">
        <f>HYPERLINK("http://www.ncbi.nlm.nih.gov/gene/2950", "2950")</f>
        <v>2950</v>
      </c>
      <c r="J646" s="13" t="str">
        <f>HYPERLINK("http://www.ncbi.nlm.nih.gov/nuccore/NM_000852", "NM_000852")</f>
        <v>NM_000852</v>
      </c>
      <c r="K646" s="12" t="s">
        <v>4068</v>
      </c>
      <c r="L646" s="13" t="str">
        <f>HYPERLINK("http://asia.ensembl.org/Homo_sapiens/Gene/Summary?g=ENSG00000084207", "ENSG00000084207")</f>
        <v>ENSG00000084207</v>
      </c>
      <c r="M646" s="12" t="s">
        <v>18894</v>
      </c>
      <c r="N646" s="12" t="s">
        <v>18895</v>
      </c>
    </row>
    <row r="647" spans="1:14">
      <c r="A647" s="12" t="s">
        <v>5085</v>
      </c>
      <c r="B647" s="8">
        <v>602.30932780934802</v>
      </c>
      <c r="C647" s="12">
        <v>1526.8409345428799</v>
      </c>
      <c r="D647" s="8">
        <v>-1.34197326392665</v>
      </c>
      <c r="E647" s="12">
        <v>3.6444403993643497E-4</v>
      </c>
      <c r="F647" s="8" t="s">
        <v>5086</v>
      </c>
      <c r="G647" s="12" t="s">
        <v>5087</v>
      </c>
      <c r="H647" s="12">
        <v>1</v>
      </c>
      <c r="I647" s="13" t="str">
        <f>HYPERLINK("http://www.ncbi.nlm.nih.gov/gene/11338", "11338")</f>
        <v>11338</v>
      </c>
      <c r="J647" s="12" t="s">
        <v>17793</v>
      </c>
      <c r="K647" s="12" t="s">
        <v>17794</v>
      </c>
      <c r="L647" s="13" t="str">
        <f>HYPERLINK("http://asia.ensembl.org/Homo_sapiens/Gene/Summary?g=ENSG00000063244", "ENSG00000063244")</f>
        <v>ENSG00000063244</v>
      </c>
      <c r="M647" s="12" t="s">
        <v>17795</v>
      </c>
      <c r="N647" s="12" t="s">
        <v>17796</v>
      </c>
    </row>
    <row r="648" spans="1:14">
      <c r="A648" s="12" t="s">
        <v>1528</v>
      </c>
      <c r="B648" s="8">
        <v>32221.959397681199</v>
      </c>
      <c r="C648" s="12">
        <v>81664.650330319404</v>
      </c>
      <c r="D648" s="8">
        <v>-1.3416674969382201</v>
      </c>
      <c r="E648" s="12">
        <v>5.2700462311808596E-3</v>
      </c>
      <c r="F648" s="8" t="s">
        <v>1529</v>
      </c>
      <c r="G648" s="12" t="s">
        <v>1530</v>
      </c>
      <c r="H648" s="12">
        <v>1</v>
      </c>
      <c r="I648" s="13" t="str">
        <f>HYPERLINK("http://www.ncbi.nlm.nih.gov/gene/25874", "25874")</f>
        <v>25874</v>
      </c>
      <c r="J648" s="12" t="s">
        <v>16664</v>
      </c>
      <c r="K648" s="12" t="s">
        <v>16665</v>
      </c>
      <c r="L648" s="13" t="str">
        <f>HYPERLINK("http://asia.ensembl.org/Homo_sapiens/Gene/Summary?g=ENSG00000143158", "ENSG00000143158")</f>
        <v>ENSG00000143158</v>
      </c>
      <c r="M648" s="12" t="s">
        <v>16666</v>
      </c>
      <c r="N648" s="12" t="s">
        <v>16667</v>
      </c>
    </row>
    <row r="649" spans="1:14">
      <c r="A649" s="12" t="s">
        <v>7358</v>
      </c>
      <c r="B649" s="8">
        <v>319.37663026447098</v>
      </c>
      <c r="C649" s="12">
        <v>809.30653602058396</v>
      </c>
      <c r="D649" s="8">
        <v>-1.3414274964911299</v>
      </c>
      <c r="E649" s="12">
        <v>1.94143711722275E-3</v>
      </c>
      <c r="F649" s="8" t="s">
        <v>7359</v>
      </c>
      <c r="G649" s="12" t="s">
        <v>7360</v>
      </c>
      <c r="H649" s="12">
        <v>1</v>
      </c>
      <c r="I649" s="13" t="str">
        <f>HYPERLINK("http://www.ncbi.nlm.nih.gov/gene/3214", "3214")</f>
        <v>3214</v>
      </c>
      <c r="J649" s="13" t="str">
        <f>HYPERLINK("http://www.ncbi.nlm.nih.gov/nuccore/NM_024015", "NM_024015")</f>
        <v>NM_024015</v>
      </c>
      <c r="K649" s="12" t="s">
        <v>7361</v>
      </c>
      <c r="L649" s="13" t="str">
        <f>HYPERLINK("http://asia.ensembl.org/Homo_sapiens/Gene/Summary?g=ENSG00000182742", "ENSG00000182742")</f>
        <v>ENSG00000182742</v>
      </c>
      <c r="M649" s="12" t="s">
        <v>7362</v>
      </c>
      <c r="N649" s="12" t="s">
        <v>7363</v>
      </c>
    </row>
    <row r="650" spans="1:14">
      <c r="A650" s="12" t="s">
        <v>9396</v>
      </c>
      <c r="B650" s="8">
        <v>24397.253146167201</v>
      </c>
      <c r="C650" s="12">
        <v>61804.382601112397</v>
      </c>
      <c r="D650" s="8">
        <v>-1.3409904186419801</v>
      </c>
      <c r="E650" s="12">
        <v>2.3060528995986602E-3</v>
      </c>
      <c r="F650" s="8" t="s">
        <v>9397</v>
      </c>
      <c r="G650" s="12" t="s">
        <v>9398</v>
      </c>
      <c r="H650" s="12">
        <v>1</v>
      </c>
      <c r="I650" s="13" t="str">
        <f>HYPERLINK("http://www.ncbi.nlm.nih.gov/gene/387103", "387103")</f>
        <v>387103</v>
      </c>
      <c r="J650" s="13" t="str">
        <f>HYPERLINK("http://www.ncbi.nlm.nih.gov/nuccore/NM_001012507", "NM_001012507")</f>
        <v>NM_001012507</v>
      </c>
      <c r="K650" s="12" t="s">
        <v>9399</v>
      </c>
      <c r="L650" s="13" t="str">
        <f>HYPERLINK("http://asia.ensembl.org/Homo_sapiens/Gene/Summary?g=ENSG00000203760", "ENSG00000203760")</f>
        <v>ENSG00000203760</v>
      </c>
      <c r="M650" s="12" t="s">
        <v>19141</v>
      </c>
      <c r="N650" s="12" t="s">
        <v>19142</v>
      </c>
    </row>
    <row r="651" spans="1:14">
      <c r="A651" s="12" t="s">
        <v>11015</v>
      </c>
      <c r="B651" s="8">
        <v>3806.1064468244599</v>
      </c>
      <c r="C651" s="12">
        <v>9637.2340548683096</v>
      </c>
      <c r="D651" s="8">
        <v>-1.3403032329840601</v>
      </c>
      <c r="E651" s="12">
        <v>3.4431922588233801E-3</v>
      </c>
      <c r="F651" s="8" t="s">
        <v>11016</v>
      </c>
      <c r="G651" s="12" t="s">
        <v>11017</v>
      </c>
      <c r="H651" s="12">
        <v>1</v>
      </c>
      <c r="I651" s="13" t="str">
        <f>HYPERLINK("http://www.ncbi.nlm.nih.gov/gene/10965", "10965")</f>
        <v>10965</v>
      </c>
      <c r="J651" s="13" t="str">
        <f>HYPERLINK("http://www.ncbi.nlm.nih.gov/nuccore/NR_046028", "NR_046028")</f>
        <v>NR_046028</v>
      </c>
      <c r="K651" s="12" t="s">
        <v>199</v>
      </c>
      <c r="L651" s="13" t="str">
        <f>HYPERLINK("http://asia.ensembl.org/Homo_sapiens/Gene/Summary?g=ENSG00000119673", "ENSG00000119673")</f>
        <v>ENSG00000119673</v>
      </c>
      <c r="M651" s="12" t="s">
        <v>19926</v>
      </c>
      <c r="N651" s="12" t="s">
        <v>19927</v>
      </c>
    </row>
    <row r="652" spans="1:14">
      <c r="A652" s="12" t="s">
        <v>81</v>
      </c>
      <c r="B652" s="8">
        <v>50</v>
      </c>
      <c r="C652" s="12">
        <v>126.56283958223101</v>
      </c>
      <c r="D652" s="8">
        <v>-1.3398538738017101</v>
      </c>
      <c r="E652" s="12">
        <v>3.33925057732025E-3</v>
      </c>
      <c r="F652" s="8" t="s">
        <v>82</v>
      </c>
      <c r="G652" s="12" t="s">
        <v>83</v>
      </c>
      <c r="H652" s="12">
        <v>1</v>
      </c>
      <c r="I652" s="13" t="str">
        <f>HYPERLINK("http://www.ncbi.nlm.nih.gov/gene/4608", "4608")</f>
        <v>4608</v>
      </c>
      <c r="J652" s="13" t="str">
        <f>HYPERLINK("http://www.ncbi.nlm.nih.gov/nuccore/NM_004997", "NM_004997")</f>
        <v>NM_004997</v>
      </c>
      <c r="K652" s="12" t="s">
        <v>84</v>
      </c>
      <c r="L652" s="13" t="str">
        <f>HYPERLINK("http://asia.ensembl.org/Homo_sapiens/Gene/Summary?g=ENSG00000133055", "ENSG00000133055")</f>
        <v>ENSG00000133055</v>
      </c>
      <c r="M652" s="12" t="s">
        <v>16245</v>
      </c>
      <c r="N652" s="12" t="s">
        <v>16246</v>
      </c>
    </row>
    <row r="653" spans="1:14">
      <c r="A653" s="12" t="s">
        <v>9208</v>
      </c>
      <c r="B653" s="8">
        <v>678.95091672325896</v>
      </c>
      <c r="C653" s="12">
        <v>1718.3025052800199</v>
      </c>
      <c r="D653" s="8">
        <v>-1.3396048568639001</v>
      </c>
      <c r="E653" s="12">
        <v>4.5959513657160898E-4</v>
      </c>
      <c r="F653" s="8" t="s">
        <v>9209</v>
      </c>
      <c r="G653" s="12" t="s">
        <v>9210</v>
      </c>
      <c r="H653" s="12">
        <v>1</v>
      </c>
      <c r="I653" s="13" t="str">
        <f>HYPERLINK("http://www.ncbi.nlm.nih.gov/gene/23412", "23412")</f>
        <v>23412</v>
      </c>
      <c r="J653" s="13" t="str">
        <f>HYPERLINK("http://www.ncbi.nlm.nih.gov/nuccore/NM_012071", "NM_012071")</f>
        <v>NM_012071</v>
      </c>
      <c r="K653" s="12" t="s">
        <v>9211</v>
      </c>
      <c r="L653" s="13" t="str">
        <f>HYPERLINK("http://asia.ensembl.org/Homo_sapiens/Gene/Summary?g=ENSG00000148444", "ENSG00000148444")</f>
        <v>ENSG00000148444</v>
      </c>
      <c r="M653" s="12" t="s">
        <v>19094</v>
      </c>
      <c r="N653" s="12" t="s">
        <v>19095</v>
      </c>
    </row>
    <row r="654" spans="1:14">
      <c r="A654" s="12" t="s">
        <v>9212</v>
      </c>
      <c r="B654" s="8">
        <v>77631.042496249196</v>
      </c>
      <c r="C654" s="12">
        <v>196462.492971517</v>
      </c>
      <c r="D654" s="8">
        <v>-1.3395483445685901</v>
      </c>
      <c r="E654" s="12">
        <v>3.80867114804786E-3</v>
      </c>
      <c r="F654" s="8" t="s">
        <v>9213</v>
      </c>
      <c r="G654" s="12" t="s">
        <v>9214</v>
      </c>
      <c r="H654" s="12">
        <v>1</v>
      </c>
      <c r="I654" s="13" t="str">
        <f>HYPERLINK("http://www.ncbi.nlm.nih.gov/gene/2197", "2197")</f>
        <v>2197</v>
      </c>
      <c r="J654" s="13" t="str">
        <f>HYPERLINK("http://www.ncbi.nlm.nih.gov/nuccore/NM_001997", "NM_001997")</f>
        <v>NM_001997</v>
      </c>
      <c r="K654" s="12" t="s">
        <v>9215</v>
      </c>
      <c r="L654" s="13" t="str">
        <f>HYPERLINK("http://asia.ensembl.org/Homo_sapiens/Gene/Summary?g=ENSG00000149806", "ENSG00000149806")</f>
        <v>ENSG00000149806</v>
      </c>
      <c r="M654" s="12" t="s">
        <v>19096</v>
      </c>
      <c r="N654" s="12" t="s">
        <v>19097</v>
      </c>
    </row>
    <row r="655" spans="1:14">
      <c r="A655" s="12" t="s">
        <v>3016</v>
      </c>
      <c r="B655" s="8">
        <v>342.674423657207</v>
      </c>
      <c r="C655" s="12">
        <v>867.20884963400101</v>
      </c>
      <c r="D655" s="8">
        <v>-1.339540962277</v>
      </c>
      <c r="E655" s="12">
        <v>4.1117950583785898E-3</v>
      </c>
      <c r="F655" s="8" t="s">
        <v>3017</v>
      </c>
      <c r="G655" s="12" t="s">
        <v>93</v>
      </c>
      <c r="H655" s="12">
        <v>1</v>
      </c>
      <c r="I655" s="13" t="str">
        <f>HYPERLINK("http://www.ncbi.nlm.nih.gov/gene/25822", "25822")</f>
        <v>25822</v>
      </c>
      <c r="J655" s="12" t="s">
        <v>17175</v>
      </c>
      <c r="K655" s="12" t="s">
        <v>17176</v>
      </c>
      <c r="L655" s="13" t="str">
        <f>HYPERLINK("http://asia.ensembl.org/Homo_sapiens/Gene/Summary?g=ENSG00000137094", "ENSG00000137094")</f>
        <v>ENSG00000137094</v>
      </c>
      <c r="M655" s="12" t="s">
        <v>17177</v>
      </c>
      <c r="N655" s="12" t="s">
        <v>17178</v>
      </c>
    </row>
    <row r="656" spans="1:14">
      <c r="A656" s="12" t="s">
        <v>7444</v>
      </c>
      <c r="B656" s="8">
        <v>24948.229571749998</v>
      </c>
      <c r="C656" s="12">
        <v>63121.790428422202</v>
      </c>
      <c r="D656" s="8">
        <v>-1.33920068782943</v>
      </c>
      <c r="E656" s="12">
        <v>1.8810020321058901E-3</v>
      </c>
      <c r="F656" s="8" t="s">
        <v>1048</v>
      </c>
      <c r="G656" s="12" t="s">
        <v>286</v>
      </c>
      <c r="H656" s="12">
        <v>1</v>
      </c>
      <c r="I656" s="13" t="str">
        <f>HYPERLINK("http://www.ncbi.nlm.nih.gov/gene/4702", "4702")</f>
        <v>4702</v>
      </c>
      <c r="J656" s="13" t="str">
        <f>HYPERLINK("http://www.ncbi.nlm.nih.gov/nuccore/NM_014222", "NM_014222")</f>
        <v>NM_014222</v>
      </c>
      <c r="K656" s="12" t="s">
        <v>1049</v>
      </c>
      <c r="L656" s="13" t="str">
        <f>HYPERLINK("http://asia.ensembl.org/Homo_sapiens/Gene/Summary?g=ENSG00000119421", "ENSG00000119421")</f>
        <v>ENSG00000119421</v>
      </c>
      <c r="M656" s="12" t="s">
        <v>1050</v>
      </c>
      <c r="N656" s="12" t="s">
        <v>1051</v>
      </c>
    </row>
    <row r="657" spans="1:14">
      <c r="A657" s="12" t="s">
        <v>2574</v>
      </c>
      <c r="B657" s="8">
        <v>69.366301825073094</v>
      </c>
      <c r="C657" s="12">
        <v>175.50330340592899</v>
      </c>
      <c r="D657" s="8">
        <v>-1.3391913095524199</v>
      </c>
      <c r="E657" s="12">
        <v>4.6967642686392003E-2</v>
      </c>
      <c r="F657" s="8" t="s">
        <v>2575</v>
      </c>
      <c r="G657" s="12" t="s">
        <v>17033</v>
      </c>
      <c r="H657" s="12">
        <v>1</v>
      </c>
      <c r="I657" s="13" t="str">
        <f>HYPERLINK("http://www.ncbi.nlm.nih.gov/gene/50834", "50834")</f>
        <v>50834</v>
      </c>
      <c r="J657" s="13" t="str">
        <f>HYPERLINK("http://www.ncbi.nlm.nih.gov/nuccore/NM_019599", "NM_019599")</f>
        <v>NM_019599</v>
      </c>
      <c r="K657" s="12" t="s">
        <v>2576</v>
      </c>
      <c r="L657" s="13" t="str">
        <f>HYPERLINK("http://asia.ensembl.org/Homo_sapiens/Gene/Summary?g=ENSG00000169777", "ENSG00000169777")</f>
        <v>ENSG00000169777</v>
      </c>
      <c r="M657" s="12" t="s">
        <v>17034</v>
      </c>
      <c r="N657" s="12" t="s">
        <v>17035</v>
      </c>
    </row>
    <row r="658" spans="1:14">
      <c r="A658" s="12" t="s">
        <v>10040</v>
      </c>
      <c r="B658" s="8">
        <v>601.43023854524597</v>
      </c>
      <c r="C658" s="12">
        <v>1520.60422476349</v>
      </c>
      <c r="D658" s="8">
        <v>-1.33817539421985</v>
      </c>
      <c r="E658" s="12">
        <v>3.2857349285660398E-3</v>
      </c>
      <c r="F658" s="8" t="s">
        <v>10041</v>
      </c>
      <c r="G658" s="12" t="s">
        <v>10042</v>
      </c>
      <c r="H658" s="12">
        <v>1</v>
      </c>
      <c r="I658" s="13" t="str">
        <f>HYPERLINK("http://www.ncbi.nlm.nih.gov/gene/23409", "23409")</f>
        <v>23409</v>
      </c>
      <c r="J658" s="13" t="str">
        <f>HYPERLINK("http://www.ncbi.nlm.nih.gov/nuccore/NM_012240", "NM_012240")</f>
        <v>NM_012240</v>
      </c>
      <c r="K658" s="12" t="s">
        <v>10043</v>
      </c>
      <c r="L658" s="13" t="str">
        <f>HYPERLINK("http://asia.ensembl.org/Homo_sapiens/Gene/Summary?g=ENSG00000089163", "ENSG00000089163")</f>
        <v>ENSG00000089163</v>
      </c>
      <c r="M658" s="12" t="s">
        <v>19520</v>
      </c>
      <c r="N658" s="12" t="s">
        <v>19521</v>
      </c>
    </row>
    <row r="659" spans="1:14">
      <c r="A659" s="12" t="s">
        <v>8892</v>
      </c>
      <c r="B659" s="8">
        <v>964.86298378399795</v>
      </c>
      <c r="C659" s="12">
        <v>2435.5025179889399</v>
      </c>
      <c r="D659" s="8">
        <v>-1.3358234838746399</v>
      </c>
      <c r="E659" s="12">
        <v>4.5196199298934399E-3</v>
      </c>
      <c r="F659" s="8" t="s">
        <v>8893</v>
      </c>
      <c r="G659" s="12" t="s">
        <v>8894</v>
      </c>
      <c r="H659" s="12">
        <v>4</v>
      </c>
      <c r="I659" s="12" t="s">
        <v>8895</v>
      </c>
      <c r="J659" s="12" t="s">
        <v>8896</v>
      </c>
      <c r="K659" s="12" t="s">
        <v>8897</v>
      </c>
      <c r="L659" s="12" t="s">
        <v>8898</v>
      </c>
      <c r="M659" s="12" t="s">
        <v>19000</v>
      </c>
      <c r="N659" s="12" t="s">
        <v>19001</v>
      </c>
    </row>
    <row r="660" spans="1:14">
      <c r="A660" s="12" t="s">
        <v>6841</v>
      </c>
      <c r="B660" s="8">
        <v>17379.735083758002</v>
      </c>
      <c r="C660" s="12">
        <v>43866.459930866098</v>
      </c>
      <c r="D660" s="8">
        <v>-1.33571219248472</v>
      </c>
      <c r="E660" s="12">
        <v>8.1177282806935303E-3</v>
      </c>
      <c r="F660" s="8" t="s">
        <v>6842</v>
      </c>
      <c r="G660" s="12" t="s">
        <v>6843</v>
      </c>
      <c r="H660" s="12">
        <v>1</v>
      </c>
      <c r="I660" s="13" t="str">
        <f>HYPERLINK("http://www.ncbi.nlm.nih.gov/gene/2357", "2357")</f>
        <v>2357</v>
      </c>
      <c r="J660" s="12" t="s">
        <v>18273</v>
      </c>
      <c r="K660" s="12" t="s">
        <v>18274</v>
      </c>
      <c r="L660" s="13" t="str">
        <f>HYPERLINK("http://asia.ensembl.org/Homo_sapiens/Gene/Summary?g=ENSG00000171051", "ENSG00000171051")</f>
        <v>ENSG00000171051</v>
      </c>
      <c r="M660" s="12" t="s">
        <v>18275</v>
      </c>
      <c r="N660" s="12" t="s">
        <v>18276</v>
      </c>
    </row>
    <row r="661" spans="1:14">
      <c r="A661" s="12" t="s">
        <v>7654</v>
      </c>
      <c r="B661" s="8">
        <v>46590.109876659</v>
      </c>
      <c r="C661" s="12">
        <v>117500.027964897</v>
      </c>
      <c r="D661" s="8">
        <v>-1.3345654621804699</v>
      </c>
      <c r="E661" s="12">
        <v>4.4835042878530601E-3</v>
      </c>
      <c r="F661" s="8" t="s">
        <v>2833</v>
      </c>
      <c r="G661" s="12" t="s">
        <v>2834</v>
      </c>
      <c r="H661" s="12">
        <v>1</v>
      </c>
      <c r="I661" s="13" t="str">
        <f>HYPERLINK("http://www.ncbi.nlm.nih.gov/gene/10952", "10952")</f>
        <v>10952</v>
      </c>
      <c r="J661" s="13" t="str">
        <f>HYPERLINK("http://www.ncbi.nlm.nih.gov/nuccore/NM_006808", "NM_006808")</f>
        <v>NM_006808</v>
      </c>
      <c r="K661" s="12" t="s">
        <v>2835</v>
      </c>
      <c r="L661" s="13" t="str">
        <f>HYPERLINK("http://asia.ensembl.org/Homo_sapiens/Gene/Summary?g=ENSG00000106803", "ENSG00000106803")</f>
        <v>ENSG00000106803</v>
      </c>
      <c r="M661" s="12" t="s">
        <v>17120</v>
      </c>
      <c r="N661" s="12" t="s">
        <v>17121</v>
      </c>
    </row>
    <row r="662" spans="1:14">
      <c r="A662" s="12" t="s">
        <v>7690</v>
      </c>
      <c r="B662" s="8">
        <v>173.713557186266</v>
      </c>
      <c r="C662" s="12">
        <v>438.02570924394797</v>
      </c>
      <c r="D662" s="8">
        <v>-1.33430519789139</v>
      </c>
      <c r="E662" s="12">
        <v>3.9434209244981297E-2</v>
      </c>
      <c r="F662" s="8" t="s">
        <v>7691</v>
      </c>
      <c r="G662" s="12" t="s">
        <v>18621</v>
      </c>
      <c r="H662" s="12">
        <v>1</v>
      </c>
      <c r="I662" s="13" t="str">
        <f>HYPERLINK("http://www.ncbi.nlm.nih.gov/gene/5369", "5369")</f>
        <v>5369</v>
      </c>
      <c r="J662" s="13" t="str">
        <f>HYPERLINK("http://www.ncbi.nlm.nih.gov/nuccore/NR_003921", "NR_003921")</f>
        <v>NR_003921</v>
      </c>
      <c r="K662" s="12" t="s">
        <v>199</v>
      </c>
      <c r="L662" s="12" t="s">
        <v>38</v>
      </c>
      <c r="M662" s="12" t="s">
        <v>38</v>
      </c>
      <c r="N662" s="12" t="s">
        <v>38</v>
      </c>
    </row>
    <row r="663" spans="1:14">
      <c r="A663" s="12" t="s">
        <v>1304</v>
      </c>
      <c r="B663" s="8">
        <v>2174.8601732699399</v>
      </c>
      <c r="C663" s="12">
        <v>5481.9873521011996</v>
      </c>
      <c r="D663" s="8">
        <v>-1.3337763498368</v>
      </c>
      <c r="E663" s="12">
        <v>5.7687033709348601E-3</v>
      </c>
      <c r="F663" s="8" t="s">
        <v>1305</v>
      </c>
      <c r="G663" s="12" t="s">
        <v>16568</v>
      </c>
      <c r="H663" s="12">
        <v>1</v>
      </c>
      <c r="I663" s="13" t="str">
        <f>HYPERLINK("http://www.ncbi.nlm.nih.gov/gene/9363", "9363")</f>
        <v>9363</v>
      </c>
      <c r="J663" s="13" t="str">
        <f>HYPERLINK("http://www.ncbi.nlm.nih.gov/nuccore/NM_004794", "NM_004794")</f>
        <v>NM_004794</v>
      </c>
      <c r="K663" s="12" t="s">
        <v>1306</v>
      </c>
      <c r="L663" s="13" t="str">
        <f>HYPERLINK("http://asia.ensembl.org/Homo_sapiens/Gene/Summary?g=ENSG00000134594", "ENSG00000134594")</f>
        <v>ENSG00000134594</v>
      </c>
      <c r="M663" s="12" t="s">
        <v>1307</v>
      </c>
      <c r="N663" s="12" t="s">
        <v>1308</v>
      </c>
    </row>
    <row r="664" spans="1:14">
      <c r="A664" s="12" t="s">
        <v>11760</v>
      </c>
      <c r="B664" s="8">
        <v>944.03537370043296</v>
      </c>
      <c r="C664" s="12">
        <v>2379.0591060492802</v>
      </c>
      <c r="D664" s="8">
        <v>-1.3334782903934701</v>
      </c>
      <c r="E664" s="12">
        <v>4.7495331384546204E-3</v>
      </c>
      <c r="F664" s="8" t="s">
        <v>4597</v>
      </c>
      <c r="G664" s="12" t="s">
        <v>4598</v>
      </c>
      <c r="H664" s="12">
        <v>1</v>
      </c>
      <c r="I664" s="13" t="str">
        <f>HYPERLINK("http://www.ncbi.nlm.nih.gov/gene/26112", "26112")</f>
        <v>26112</v>
      </c>
      <c r="J664" s="13" t="str">
        <f>HYPERLINK("http://www.ncbi.nlm.nih.gov/nuccore/NM_015621", "NM_015621")</f>
        <v>NM_015621</v>
      </c>
      <c r="K664" s="12" t="s">
        <v>4599</v>
      </c>
      <c r="L664" s="13" t="str">
        <f>HYPERLINK("http://asia.ensembl.org/Homo_sapiens/Gene/Summary?g=ENSG00000198624", "ENSG00000198624")</f>
        <v>ENSG00000198624</v>
      </c>
      <c r="M664" s="12" t="s">
        <v>20186</v>
      </c>
      <c r="N664" s="12" t="s">
        <v>20187</v>
      </c>
    </row>
    <row r="665" spans="1:14">
      <c r="A665" s="12" t="s">
        <v>4524</v>
      </c>
      <c r="B665" s="8">
        <v>708.20619423274502</v>
      </c>
      <c r="C665" s="12">
        <v>1782.7338721307499</v>
      </c>
      <c r="D665" s="8">
        <v>-1.3318499851827199</v>
      </c>
      <c r="E665" s="12">
        <v>3.6136591244815002E-3</v>
      </c>
      <c r="F665" s="8" t="s">
        <v>4525</v>
      </c>
      <c r="G665" s="12" t="s">
        <v>4526</v>
      </c>
      <c r="H665" s="12">
        <v>1</v>
      </c>
      <c r="I665" s="13" t="str">
        <f>HYPERLINK("http://www.ncbi.nlm.nih.gov/gene/1113", "1113")</f>
        <v>1113</v>
      </c>
      <c r="J665" s="13" t="str">
        <f>HYPERLINK("http://www.ncbi.nlm.nih.gov/nuccore/NM_001275", "NM_001275")</f>
        <v>NM_001275</v>
      </c>
      <c r="K665" s="12" t="s">
        <v>4527</v>
      </c>
      <c r="L665" s="13" t="str">
        <f>HYPERLINK("http://asia.ensembl.org/Homo_sapiens/Gene/Summary?g=ENSG00000100604", "ENSG00000100604")</f>
        <v>ENSG00000100604</v>
      </c>
      <c r="M665" s="12" t="s">
        <v>17705</v>
      </c>
      <c r="N665" s="12" t="s">
        <v>17706</v>
      </c>
    </row>
    <row r="666" spans="1:14">
      <c r="A666" s="12" t="s">
        <v>7763</v>
      </c>
      <c r="B666" s="8">
        <v>49.999999999999901</v>
      </c>
      <c r="C666" s="12">
        <v>125.859941558076</v>
      </c>
      <c r="D666" s="8">
        <v>-1.3318191781203901</v>
      </c>
      <c r="E666" s="12">
        <v>1.94353615253768E-3</v>
      </c>
      <c r="F666" s="8" t="s">
        <v>7764</v>
      </c>
      <c r="G666" s="12" t="s">
        <v>7765</v>
      </c>
      <c r="H666" s="12">
        <v>1</v>
      </c>
      <c r="I666" s="13" t="str">
        <f>HYPERLINK("http://www.ncbi.nlm.nih.gov/gene/284485", "284485")</f>
        <v>284485</v>
      </c>
      <c r="J666" s="13" t="str">
        <f>HYPERLINK("http://www.ncbi.nlm.nih.gov/nuccore/NM_001144956", "NM_001144956")</f>
        <v>NM_001144956</v>
      </c>
      <c r="K666" s="12" t="s">
        <v>7766</v>
      </c>
      <c r="L666" s="13" t="str">
        <f>HYPERLINK("http://asia.ensembl.org/Homo_sapiens/Gene/Summary?g=ENSG00000178796", "ENSG00000178796")</f>
        <v>ENSG00000178796</v>
      </c>
      <c r="M666" s="12" t="s">
        <v>18636</v>
      </c>
      <c r="N666" s="12" t="s">
        <v>18637</v>
      </c>
    </row>
    <row r="667" spans="1:14">
      <c r="A667" s="12" t="s">
        <v>5844</v>
      </c>
      <c r="B667" s="8">
        <v>5765.5848642809597</v>
      </c>
      <c r="C667" s="12">
        <v>14504.328998795099</v>
      </c>
      <c r="D667" s="8">
        <v>-1.3309446866922801</v>
      </c>
      <c r="E667" s="12">
        <v>2.7272310103149599E-3</v>
      </c>
      <c r="F667" s="8" t="s">
        <v>5845</v>
      </c>
      <c r="G667" s="12" t="s">
        <v>17989</v>
      </c>
      <c r="H667" s="12">
        <v>1</v>
      </c>
      <c r="I667" s="13" t="str">
        <f>HYPERLINK("http://www.ncbi.nlm.nih.gov/gene/2189", "2189")</f>
        <v>2189</v>
      </c>
      <c r="J667" s="13" t="str">
        <f>HYPERLINK("http://www.ncbi.nlm.nih.gov/nuccore/NM_004629", "NM_004629")</f>
        <v>NM_004629</v>
      </c>
      <c r="K667" s="12" t="s">
        <v>5846</v>
      </c>
      <c r="L667" s="13" t="str">
        <f>HYPERLINK("http://asia.ensembl.org/Homo_sapiens/Gene/Summary?g=ENSG00000221829", "ENSG00000221829")</f>
        <v>ENSG00000221829</v>
      </c>
      <c r="M667" s="12" t="s">
        <v>17990</v>
      </c>
      <c r="N667" s="12" t="s">
        <v>17991</v>
      </c>
    </row>
    <row r="668" spans="1:14">
      <c r="A668" s="12" t="s">
        <v>8702</v>
      </c>
      <c r="B668" s="8">
        <v>83.5955676807109</v>
      </c>
      <c r="C668" s="12">
        <v>210.186246469292</v>
      </c>
      <c r="D668" s="8">
        <v>-1.33016991334667</v>
      </c>
      <c r="E668" s="12">
        <v>2.9256791770521502E-2</v>
      </c>
      <c r="F668" s="8" t="s">
        <v>8703</v>
      </c>
      <c r="G668" s="12" t="s">
        <v>8704</v>
      </c>
      <c r="H668" s="12">
        <v>4</v>
      </c>
      <c r="I668" s="12" t="s">
        <v>8705</v>
      </c>
      <c r="J668" s="12" t="s">
        <v>8706</v>
      </c>
      <c r="K668" s="12" t="s">
        <v>8707</v>
      </c>
      <c r="L668" s="12" t="s">
        <v>8708</v>
      </c>
      <c r="M668" s="12" t="s">
        <v>18949</v>
      </c>
      <c r="N668" s="12" t="s">
        <v>8709</v>
      </c>
    </row>
    <row r="669" spans="1:14">
      <c r="A669" s="12" t="s">
        <v>8641</v>
      </c>
      <c r="B669" s="8">
        <v>4434.1224966785403</v>
      </c>
      <c r="C669" s="12">
        <v>11145.8803318552</v>
      </c>
      <c r="D669" s="8">
        <v>-1.3297900374298</v>
      </c>
      <c r="E669" s="12">
        <v>7.9118308530376903E-4</v>
      </c>
      <c r="F669" s="8" t="s">
        <v>8642</v>
      </c>
      <c r="G669" s="12" t="s">
        <v>8643</v>
      </c>
      <c r="H669" s="12">
        <v>1</v>
      </c>
      <c r="I669" s="13" t="str">
        <f>HYPERLINK("http://www.ncbi.nlm.nih.gov/gene/404281", "404281")</f>
        <v>404281</v>
      </c>
      <c r="J669" s="13" t="str">
        <f>HYPERLINK("http://www.ncbi.nlm.nih.gov/nuccore/NM_206923", "NM_206923")</f>
        <v>NM_206923</v>
      </c>
      <c r="K669" s="12" t="s">
        <v>8644</v>
      </c>
      <c r="L669" s="13" t="str">
        <f>HYPERLINK("http://asia.ensembl.org/Homo_sapiens/Gene/Summary?g=ENSG00000230797", "ENSG00000230797")</f>
        <v>ENSG00000230797</v>
      </c>
      <c r="M669" s="12" t="s">
        <v>8645</v>
      </c>
      <c r="N669" s="12" t="s">
        <v>8646</v>
      </c>
    </row>
    <row r="670" spans="1:14">
      <c r="A670" s="12" t="s">
        <v>2403</v>
      </c>
      <c r="B670" s="8">
        <v>181.11191106857001</v>
      </c>
      <c r="C670" s="12">
        <v>455.04780841231502</v>
      </c>
      <c r="D670" s="8">
        <v>-1.32913669608044</v>
      </c>
      <c r="E670" s="12">
        <v>9.0583630698077393E-3</v>
      </c>
      <c r="F670" s="8" t="s">
        <v>2404</v>
      </c>
      <c r="G670" s="12" t="s">
        <v>16989</v>
      </c>
      <c r="H670" s="12">
        <v>1</v>
      </c>
      <c r="I670" s="13" t="str">
        <f>HYPERLINK("http://www.ncbi.nlm.nih.gov/gene/2172", "2172")</f>
        <v>2172</v>
      </c>
      <c r="J670" s="12" t="s">
        <v>16990</v>
      </c>
      <c r="K670" s="12" t="s">
        <v>16991</v>
      </c>
      <c r="L670" s="13" t="str">
        <f>HYPERLINK("http://asia.ensembl.org/Homo_sapiens/Gene/Summary?g=ENSG00000170231", "ENSG00000170231")</f>
        <v>ENSG00000170231</v>
      </c>
      <c r="M670" s="12" t="s">
        <v>16992</v>
      </c>
      <c r="N670" s="12" t="s">
        <v>16993</v>
      </c>
    </row>
    <row r="671" spans="1:14">
      <c r="A671" s="12" t="s">
        <v>3749</v>
      </c>
      <c r="B671" s="8">
        <v>2052.9259599552902</v>
      </c>
      <c r="C671" s="12">
        <v>5157.6988405940001</v>
      </c>
      <c r="D671" s="8">
        <v>-1.32904593954391</v>
      </c>
      <c r="E671" s="12">
        <v>3.0453629101705399E-3</v>
      </c>
      <c r="F671" s="8" t="s">
        <v>3750</v>
      </c>
      <c r="G671" s="12" t="s">
        <v>3751</v>
      </c>
      <c r="H671" s="12">
        <v>1</v>
      </c>
      <c r="I671" s="13" t="str">
        <f>HYPERLINK("http://www.ncbi.nlm.nih.gov/gene/79713", "79713")</f>
        <v>79713</v>
      </c>
      <c r="J671" s="13" t="str">
        <f>HYPERLINK("http://www.ncbi.nlm.nih.gov/nuccore/NM_024660", "NM_024660")</f>
        <v>NM_024660</v>
      </c>
      <c r="K671" s="12" t="s">
        <v>3752</v>
      </c>
      <c r="L671" s="13" t="str">
        <f>HYPERLINK("http://asia.ensembl.org/Homo_sapiens/Gene/Summary?g=ENSG00000126246", "ENSG00000126246")</f>
        <v>ENSG00000126246</v>
      </c>
      <c r="M671" s="12" t="s">
        <v>17405</v>
      </c>
      <c r="N671" s="12" t="s">
        <v>17406</v>
      </c>
    </row>
    <row r="672" spans="1:14">
      <c r="A672" s="12" t="s">
        <v>9690</v>
      </c>
      <c r="B672" s="8">
        <v>1404.53914996908</v>
      </c>
      <c r="C672" s="12">
        <v>3526.4096747513399</v>
      </c>
      <c r="D672" s="8">
        <v>-1.32810324853302</v>
      </c>
      <c r="E672" s="12">
        <v>3.1899683608580898E-4</v>
      </c>
      <c r="F672" s="8" t="s">
        <v>9691</v>
      </c>
      <c r="G672" s="12" t="s">
        <v>9692</v>
      </c>
      <c r="H672" s="12">
        <v>1</v>
      </c>
      <c r="I672" s="13" t="str">
        <f>HYPERLINK("http://www.ncbi.nlm.nih.gov/gene/6161", "6161")</f>
        <v>6161</v>
      </c>
      <c r="J672" s="12" t="s">
        <v>19259</v>
      </c>
      <c r="K672" s="12" t="s">
        <v>19260</v>
      </c>
      <c r="L672" s="13" t="str">
        <f>HYPERLINK("http://asia.ensembl.org/Homo_sapiens/Gene/Summary?g=ENSG00000144713", "ENSG00000144713")</f>
        <v>ENSG00000144713</v>
      </c>
      <c r="M672" s="12" t="s">
        <v>19261</v>
      </c>
      <c r="N672" s="12" t="s">
        <v>19262</v>
      </c>
    </row>
    <row r="673" spans="1:14">
      <c r="A673" s="12" t="s">
        <v>3010</v>
      </c>
      <c r="B673" s="8">
        <v>460.51461618013502</v>
      </c>
      <c r="C673" s="12">
        <v>1156.1925326594601</v>
      </c>
      <c r="D673" s="8">
        <v>-1.32806280820128</v>
      </c>
      <c r="E673" s="12">
        <v>6.9416082890433398E-3</v>
      </c>
      <c r="F673" s="8" t="s">
        <v>3011</v>
      </c>
      <c r="G673" s="12" t="s">
        <v>3012</v>
      </c>
      <c r="H673" s="12">
        <v>1</v>
      </c>
      <c r="I673" s="13" t="str">
        <f>HYPERLINK("http://www.ncbi.nlm.nih.gov/gene/58526", "58526")</f>
        <v>58526</v>
      </c>
      <c r="J673" s="12" t="s">
        <v>17171</v>
      </c>
      <c r="K673" s="12" t="s">
        <v>17172</v>
      </c>
      <c r="L673" s="13" t="str">
        <f>HYPERLINK("http://asia.ensembl.org/Homo_sapiens/Gene/Summary?g=ENSG00000165175", "ENSG00000165175")</f>
        <v>ENSG00000165175</v>
      </c>
      <c r="M673" s="12" t="s">
        <v>17173</v>
      </c>
      <c r="N673" s="12" t="s">
        <v>17174</v>
      </c>
    </row>
    <row r="674" spans="1:14">
      <c r="A674" s="12" t="s">
        <v>3164</v>
      </c>
      <c r="B674" s="8">
        <v>704.95690556815805</v>
      </c>
      <c r="C674" s="12">
        <v>1769.6620412714101</v>
      </c>
      <c r="D674" s="8">
        <v>-1.32786689742928</v>
      </c>
      <c r="E674" s="12">
        <v>2.6343117280213898E-4</v>
      </c>
      <c r="F674" s="8" t="s">
        <v>3165</v>
      </c>
      <c r="G674" s="12" t="s">
        <v>17230</v>
      </c>
      <c r="H674" s="12">
        <v>1</v>
      </c>
      <c r="I674" s="13" t="str">
        <f>HYPERLINK("http://www.ncbi.nlm.nih.gov/gene/26958", "26958")</f>
        <v>26958</v>
      </c>
      <c r="J674" s="13" t="str">
        <f>HYPERLINK("http://www.ncbi.nlm.nih.gov/nuccore/NM_012133", "NM_012133")</f>
        <v>NM_012133</v>
      </c>
      <c r="K674" s="12" t="s">
        <v>3166</v>
      </c>
      <c r="L674" s="13" t="str">
        <f>HYPERLINK("http://asia.ensembl.org/Homo_sapiens/Gene/Summary?g=ENSG00000158623", "ENSG00000158623")</f>
        <v>ENSG00000158623</v>
      </c>
      <c r="M674" s="12" t="s">
        <v>17231</v>
      </c>
      <c r="N674" s="12" t="s">
        <v>17232</v>
      </c>
    </row>
    <row r="675" spans="1:14">
      <c r="A675" s="12" t="s">
        <v>10319</v>
      </c>
      <c r="B675" s="8">
        <v>1884.40243685158</v>
      </c>
      <c r="C675" s="12">
        <v>4726.2678722195396</v>
      </c>
      <c r="D675" s="8">
        <v>-1.32659429695578</v>
      </c>
      <c r="E675" s="12">
        <v>3.5860226214184401E-3</v>
      </c>
      <c r="F675" s="8" t="s">
        <v>10320</v>
      </c>
      <c r="G675" s="12" t="s">
        <v>10321</v>
      </c>
      <c r="H675" s="12">
        <v>1</v>
      </c>
      <c r="I675" s="13" t="str">
        <f>HYPERLINK("http://www.ncbi.nlm.nih.gov/gene/51130", "51130")</f>
        <v>51130</v>
      </c>
      <c r="J675" s="12" t="s">
        <v>19664</v>
      </c>
      <c r="K675" s="12" t="s">
        <v>19665</v>
      </c>
      <c r="L675" s="13" t="str">
        <f>HYPERLINK("http://asia.ensembl.org/Homo_sapiens/Gene/Summary?g=ENSG00000115239", "ENSG00000115239")</f>
        <v>ENSG00000115239</v>
      </c>
      <c r="M675" s="12" t="s">
        <v>19666</v>
      </c>
      <c r="N675" s="12" t="s">
        <v>19667</v>
      </c>
    </row>
    <row r="676" spans="1:14">
      <c r="A676" s="12" t="s">
        <v>5461</v>
      </c>
      <c r="B676" s="8">
        <v>17749.513352316601</v>
      </c>
      <c r="C676" s="12">
        <v>44513.879045100301</v>
      </c>
      <c r="D676" s="8">
        <v>-1.3264757561035501</v>
      </c>
      <c r="E676" s="12">
        <v>3.9468872189535797E-3</v>
      </c>
      <c r="F676" s="8" t="s">
        <v>5462</v>
      </c>
      <c r="G676" s="12" t="s">
        <v>17880</v>
      </c>
      <c r="H676" s="12">
        <v>1</v>
      </c>
      <c r="I676" s="13" t="str">
        <f>HYPERLINK("http://www.ncbi.nlm.nih.gov/gene/3682", "3682")</f>
        <v>3682</v>
      </c>
      <c r="J676" s="13" t="str">
        <f>HYPERLINK("http://www.ncbi.nlm.nih.gov/nuccore/NM_002208", "NM_002208")</f>
        <v>NM_002208</v>
      </c>
      <c r="K676" s="12" t="s">
        <v>5463</v>
      </c>
      <c r="L676" s="13" t="str">
        <f>HYPERLINK("http://asia.ensembl.org/Homo_sapiens/Gene/Summary?g=ENSG00000083457", "ENSG00000083457")</f>
        <v>ENSG00000083457</v>
      </c>
      <c r="M676" s="12" t="s">
        <v>17881</v>
      </c>
      <c r="N676" s="12" t="s">
        <v>17882</v>
      </c>
    </row>
    <row r="677" spans="1:14">
      <c r="A677" s="12" t="s">
        <v>4144</v>
      </c>
      <c r="B677" s="8">
        <v>71675.784445896003</v>
      </c>
      <c r="C677" s="12">
        <v>179651.22189352999</v>
      </c>
      <c r="D677" s="8">
        <v>-1.3256410537846599</v>
      </c>
      <c r="E677" s="12">
        <v>6.0750860449536497E-3</v>
      </c>
      <c r="F677" s="8" t="s">
        <v>4145</v>
      </c>
      <c r="G677" s="12" t="s">
        <v>4146</v>
      </c>
      <c r="H677" s="12">
        <v>1</v>
      </c>
      <c r="I677" s="13" t="str">
        <f>HYPERLINK("http://www.ncbi.nlm.nih.gov/gene/1396", "1396")</f>
        <v>1396</v>
      </c>
      <c r="J677" s="13" t="str">
        <f>HYPERLINK("http://www.ncbi.nlm.nih.gov/nuccore/NM_001311", "NM_001311")</f>
        <v>NM_001311</v>
      </c>
      <c r="K677" s="12" t="s">
        <v>4147</v>
      </c>
      <c r="L677" s="13" t="str">
        <f>HYPERLINK("http://asia.ensembl.org/Homo_sapiens/Gene/Summary?g=ENSG00000213145", "ENSG00000213145")</f>
        <v>ENSG00000213145</v>
      </c>
      <c r="M677" s="12" t="s">
        <v>17581</v>
      </c>
      <c r="N677" s="12" t="s">
        <v>17582</v>
      </c>
    </row>
    <row r="678" spans="1:14">
      <c r="A678" s="12" t="s">
        <v>7807</v>
      </c>
      <c r="B678" s="8">
        <v>6181.9761309762498</v>
      </c>
      <c r="C678" s="12">
        <v>15491.423510164999</v>
      </c>
      <c r="D678" s="8">
        <v>-1.3253297307921801</v>
      </c>
      <c r="E678" s="12">
        <v>6.5727290562255999E-3</v>
      </c>
      <c r="F678" s="8" t="s">
        <v>3740</v>
      </c>
      <c r="G678" s="12" t="s">
        <v>17396</v>
      </c>
      <c r="H678" s="12">
        <v>1</v>
      </c>
      <c r="I678" s="13" t="str">
        <f>HYPERLINK("http://www.ncbi.nlm.nih.gov/gene/28956", "28956")</f>
        <v>28956</v>
      </c>
      <c r="J678" s="12" t="s">
        <v>17397</v>
      </c>
      <c r="K678" s="12" t="s">
        <v>17398</v>
      </c>
      <c r="L678" s="13" t="str">
        <f>HYPERLINK("http://asia.ensembl.org/Homo_sapiens/Gene/Summary?g=ENSG00000116586", "ENSG00000116586")</f>
        <v>ENSG00000116586</v>
      </c>
      <c r="M678" s="12" t="s">
        <v>17399</v>
      </c>
      <c r="N678" s="12" t="s">
        <v>17400</v>
      </c>
    </row>
    <row r="679" spans="1:14">
      <c r="A679" s="12" t="s">
        <v>1194</v>
      </c>
      <c r="B679" s="8">
        <v>1234.71504753676</v>
      </c>
      <c r="C679" s="12">
        <v>3093.7537199645999</v>
      </c>
      <c r="D679" s="8">
        <v>-1.32518022548526</v>
      </c>
      <c r="E679" s="12">
        <v>2.4079005964240401E-3</v>
      </c>
      <c r="F679" s="8" t="s">
        <v>1195</v>
      </c>
      <c r="G679" s="12" t="s">
        <v>16533</v>
      </c>
      <c r="H679" s="12">
        <v>1</v>
      </c>
      <c r="I679" s="13" t="str">
        <f>HYPERLINK("http://www.ncbi.nlm.nih.gov/gene/23641", "23641")</f>
        <v>23641</v>
      </c>
      <c r="J679" s="13" t="str">
        <f>HYPERLINK("http://www.ncbi.nlm.nih.gov/nuccore/NM_012317", "NM_012317")</f>
        <v>NM_012317</v>
      </c>
      <c r="K679" s="12" t="s">
        <v>1196</v>
      </c>
      <c r="L679" s="13" t="str">
        <f>HYPERLINK("http://asia.ensembl.org/Homo_sapiens/Gene/Summary?g=ENSG00000182195", "ENSG00000182195")</f>
        <v>ENSG00000182195</v>
      </c>
      <c r="M679" s="12" t="s">
        <v>16534</v>
      </c>
      <c r="N679" s="12" t="s">
        <v>1197</v>
      </c>
    </row>
    <row r="680" spans="1:14">
      <c r="A680" s="12" t="s">
        <v>2055</v>
      </c>
      <c r="B680" s="8">
        <v>2918.7538111880199</v>
      </c>
      <c r="C680" s="12">
        <v>7312.1185273118899</v>
      </c>
      <c r="D680" s="8">
        <v>-1.32493692761694</v>
      </c>
      <c r="E680" s="12">
        <v>2.4014798390599298E-3</v>
      </c>
      <c r="F680" s="8" t="s">
        <v>2056</v>
      </c>
      <c r="G680" s="12" t="s">
        <v>16901</v>
      </c>
      <c r="H680" s="12">
        <v>1</v>
      </c>
      <c r="I680" s="13" t="str">
        <f>HYPERLINK("http://www.ncbi.nlm.nih.gov/gene/8818", "8818")</f>
        <v>8818</v>
      </c>
      <c r="J680" s="13" t="str">
        <f>HYPERLINK("http://www.ncbi.nlm.nih.gov/nuccore/NM_003863", "NM_003863")</f>
        <v>NM_003863</v>
      </c>
      <c r="K680" s="12" t="s">
        <v>2057</v>
      </c>
      <c r="L680" s="13" t="str">
        <f>HYPERLINK("http://asia.ensembl.org/Homo_sapiens/Gene/Summary?g=ENSG00000136908", "ENSG00000136908")</f>
        <v>ENSG00000136908</v>
      </c>
      <c r="M680" s="12" t="s">
        <v>16902</v>
      </c>
      <c r="N680" s="12" t="s">
        <v>16903</v>
      </c>
    </row>
    <row r="681" spans="1:14">
      <c r="A681" s="12" t="s">
        <v>8662</v>
      </c>
      <c r="B681" s="8">
        <v>427.164284252843</v>
      </c>
      <c r="C681" s="12">
        <v>1069.9416219304601</v>
      </c>
      <c r="D681" s="8">
        <v>-1.3246691509419699</v>
      </c>
      <c r="E681" s="12">
        <v>2.6833624119930601E-2</v>
      </c>
      <c r="F681" s="8" t="s">
        <v>8663</v>
      </c>
      <c r="G681" s="12" t="s">
        <v>18948</v>
      </c>
      <c r="H681" s="12">
        <v>4</v>
      </c>
      <c r="I681" s="12" t="s">
        <v>8664</v>
      </c>
      <c r="J681" s="12" t="s">
        <v>8665</v>
      </c>
      <c r="K681" s="12" t="s">
        <v>8666</v>
      </c>
      <c r="L681" s="12" t="s">
        <v>8667</v>
      </c>
      <c r="M681" s="12" t="s">
        <v>8668</v>
      </c>
      <c r="N681" s="12" t="s">
        <v>8669</v>
      </c>
    </row>
    <row r="682" spans="1:14">
      <c r="A682" s="12" t="s">
        <v>8555</v>
      </c>
      <c r="B682" s="8">
        <v>11694.7420514841</v>
      </c>
      <c r="C682" s="12">
        <v>29291.313028435001</v>
      </c>
      <c r="D682" s="8">
        <v>-1.3246128248905999</v>
      </c>
      <c r="E682" s="12">
        <v>4.2153647790453804E-3</v>
      </c>
      <c r="F682" s="8" t="s">
        <v>4179</v>
      </c>
      <c r="G682" s="12" t="s">
        <v>286</v>
      </c>
      <c r="H682" s="12">
        <v>1</v>
      </c>
      <c r="I682" s="13" t="str">
        <f>HYPERLINK("http://www.ncbi.nlm.nih.gov/gene/4722", "4722")</f>
        <v>4722</v>
      </c>
      <c r="J682" s="13" t="str">
        <f>HYPERLINK("http://www.ncbi.nlm.nih.gov/nuccore/NM_004551", "NM_004551")</f>
        <v>NM_004551</v>
      </c>
      <c r="K682" s="12" t="s">
        <v>4180</v>
      </c>
      <c r="L682" s="13" t="str">
        <f>HYPERLINK("http://asia.ensembl.org/Homo_sapiens/Gene/Summary?g=ENSG00000213619", "ENSG00000213619")</f>
        <v>ENSG00000213619</v>
      </c>
      <c r="M682" s="12" t="s">
        <v>17602</v>
      </c>
      <c r="N682" s="12" t="s">
        <v>17603</v>
      </c>
    </row>
    <row r="683" spans="1:14">
      <c r="A683" s="12" t="s">
        <v>765</v>
      </c>
      <c r="B683" s="8">
        <v>642.97949521881606</v>
      </c>
      <c r="C683" s="12">
        <v>1610.0468571807</v>
      </c>
      <c r="D683" s="8">
        <v>-1.32425804020883</v>
      </c>
      <c r="E683" s="12">
        <v>1.4954056017644701E-3</v>
      </c>
      <c r="F683" s="8" t="s">
        <v>766</v>
      </c>
      <c r="G683" s="12" t="s">
        <v>767</v>
      </c>
      <c r="H683" s="12">
        <v>1</v>
      </c>
      <c r="I683" s="13" t="str">
        <f>HYPERLINK("http://www.ncbi.nlm.nih.gov/gene/64077", "64077")</f>
        <v>64077</v>
      </c>
      <c r="J683" s="12" t="s">
        <v>16440</v>
      </c>
      <c r="K683" s="12" t="s">
        <v>16441</v>
      </c>
      <c r="L683" s="13" t="str">
        <f>HYPERLINK("http://asia.ensembl.org/Homo_sapiens/Gene/Summary?g=ENSG00000107902", "ENSG00000107902")</f>
        <v>ENSG00000107902</v>
      </c>
      <c r="M683" s="12" t="s">
        <v>16442</v>
      </c>
      <c r="N683" s="12" t="s">
        <v>16443</v>
      </c>
    </row>
    <row r="684" spans="1:14">
      <c r="A684" s="12" t="s">
        <v>6565</v>
      </c>
      <c r="B684" s="8">
        <v>120.354365077518</v>
      </c>
      <c r="C684" s="12">
        <v>301.17576100478698</v>
      </c>
      <c r="D684" s="8">
        <v>-1.3233171976037601</v>
      </c>
      <c r="E684" s="12">
        <v>5.5231489525657703E-4</v>
      </c>
      <c r="F684" s="8" t="s">
        <v>6566</v>
      </c>
      <c r="G684" s="12" t="s">
        <v>539</v>
      </c>
      <c r="H684" s="12">
        <v>1</v>
      </c>
      <c r="I684" s="13" t="str">
        <f>HYPERLINK("http://www.ncbi.nlm.nih.gov/gene/51645", "51645")</f>
        <v>51645</v>
      </c>
      <c r="J684" s="13" t="str">
        <f>HYPERLINK("http://www.ncbi.nlm.nih.gov/nuccore/NM_016059", "NM_016059")</f>
        <v>NM_016059</v>
      </c>
      <c r="K684" s="12" t="s">
        <v>6567</v>
      </c>
      <c r="L684" s="13" t="str">
        <f>HYPERLINK("http://asia.ensembl.org/Homo_sapiens/Gene/Summary?g=ENSG00000137168", "ENSG00000137168")</f>
        <v>ENSG00000137168</v>
      </c>
      <c r="M684" s="12" t="s">
        <v>18210</v>
      </c>
      <c r="N684" s="12" t="s">
        <v>6568</v>
      </c>
    </row>
    <row r="685" spans="1:14">
      <c r="A685" s="12" t="s">
        <v>6716</v>
      </c>
      <c r="B685" s="8">
        <v>54.9473047415458</v>
      </c>
      <c r="C685" s="12">
        <v>137.41978567510299</v>
      </c>
      <c r="D685" s="8">
        <v>-1.32246911668892</v>
      </c>
      <c r="E685" s="12">
        <v>2.5904200461862501E-3</v>
      </c>
      <c r="F685" s="8" t="s">
        <v>6717</v>
      </c>
      <c r="G685" s="12" t="s">
        <v>6718</v>
      </c>
      <c r="H685" s="12">
        <v>1</v>
      </c>
      <c r="I685" s="13" t="str">
        <f>HYPERLINK("http://www.ncbi.nlm.nih.gov/gene/25850", "25850")</f>
        <v>25850</v>
      </c>
      <c r="J685" s="12" t="s">
        <v>18239</v>
      </c>
      <c r="K685" s="12" t="s">
        <v>18240</v>
      </c>
      <c r="L685" s="13" t="str">
        <f>HYPERLINK("http://asia.ensembl.org/Homo_sapiens/Gene/Summary?g=ENSG00000251247", "ENSG00000251247")</f>
        <v>ENSG00000251247</v>
      </c>
      <c r="M685" s="12" t="s">
        <v>18241</v>
      </c>
      <c r="N685" s="12" t="s">
        <v>18242</v>
      </c>
    </row>
    <row r="686" spans="1:14">
      <c r="A686" s="12" t="s">
        <v>2409</v>
      </c>
      <c r="B686" s="8">
        <v>3657.1840172060001</v>
      </c>
      <c r="C686" s="12">
        <v>9142.8650184117105</v>
      </c>
      <c r="D686" s="8">
        <v>-1.32191310059277</v>
      </c>
      <c r="E686" s="12">
        <v>1.48860218771676E-3</v>
      </c>
      <c r="F686" s="8" t="s">
        <v>2410</v>
      </c>
      <c r="G686" s="12" t="s">
        <v>2411</v>
      </c>
      <c r="H686" s="12">
        <v>1</v>
      </c>
      <c r="I686" s="13" t="str">
        <f>HYPERLINK("http://www.ncbi.nlm.nih.gov/gene/84518", "84518")</f>
        <v>84518</v>
      </c>
      <c r="J686" s="13" t="str">
        <f>HYPERLINK("http://www.ncbi.nlm.nih.gov/nuccore/NM_032488", "NM_032488")</f>
        <v>NM_032488</v>
      </c>
      <c r="K686" s="12" t="s">
        <v>2412</v>
      </c>
      <c r="L686" s="13" t="str">
        <f>HYPERLINK("http://asia.ensembl.org/Homo_sapiens/Gene/Summary?g=ENSG00000105427", "ENSG00000105427")</f>
        <v>ENSG00000105427</v>
      </c>
      <c r="M686" s="12" t="s">
        <v>16996</v>
      </c>
      <c r="N686" s="12" t="s">
        <v>16997</v>
      </c>
    </row>
    <row r="687" spans="1:14">
      <c r="A687" s="12" t="s">
        <v>9189</v>
      </c>
      <c r="B687" s="8">
        <v>49.999999999999901</v>
      </c>
      <c r="C687" s="12">
        <v>124.954462593919</v>
      </c>
      <c r="D687" s="8">
        <v>-1.32140242641181</v>
      </c>
      <c r="E687" s="12">
        <v>3.8016906317854299E-3</v>
      </c>
      <c r="F687" s="8" t="s">
        <v>9190</v>
      </c>
      <c r="G687" s="12" t="s">
        <v>9191</v>
      </c>
      <c r="H687" s="12">
        <v>1</v>
      </c>
      <c r="I687" s="13" t="str">
        <f>HYPERLINK("http://www.ncbi.nlm.nih.gov/gene/347252", "347252")</f>
        <v>347252</v>
      </c>
      <c r="J687" s="13" t="str">
        <f>HYPERLINK("http://www.ncbi.nlm.nih.gov/nuccore/NM_001007563", "NM_001007563")</f>
        <v>NM_001007563</v>
      </c>
      <c r="K687" s="12" t="s">
        <v>9192</v>
      </c>
      <c r="L687" s="13" t="str">
        <f>HYPERLINK("http://asia.ensembl.org/Homo_sapiens/Gene/Summary?g=ENSG00000137142", "ENSG00000137142")</f>
        <v>ENSG00000137142</v>
      </c>
      <c r="M687" s="12" t="s">
        <v>9193</v>
      </c>
      <c r="N687" s="12" t="s">
        <v>9194</v>
      </c>
    </row>
    <row r="688" spans="1:14">
      <c r="A688" s="12" t="s">
        <v>1824</v>
      </c>
      <c r="B688" s="8">
        <v>41386.493820051997</v>
      </c>
      <c r="C688" s="12">
        <v>103411.576163049</v>
      </c>
      <c r="D688" s="8">
        <v>-1.3211657571040401</v>
      </c>
      <c r="E688" s="12">
        <v>8.0591130802797391E-3</v>
      </c>
      <c r="F688" s="8" t="s">
        <v>1825</v>
      </c>
      <c r="G688" s="12" t="s">
        <v>16801</v>
      </c>
      <c r="H688" s="12">
        <v>1</v>
      </c>
      <c r="I688" s="13" t="str">
        <f>HYPERLINK("http://www.ncbi.nlm.nih.gov/gene/9550", "9550")</f>
        <v>9550</v>
      </c>
      <c r="J688" s="13" t="str">
        <f>HYPERLINK("http://www.ncbi.nlm.nih.gov/nuccore/NM_004888", "NM_004888")</f>
        <v>NM_004888</v>
      </c>
      <c r="K688" s="12" t="s">
        <v>1826</v>
      </c>
      <c r="L688" s="13" t="str">
        <f>HYPERLINK("http://asia.ensembl.org/Homo_sapiens/Gene/Summary?g=ENSG00000136888", "ENSG00000136888")</f>
        <v>ENSG00000136888</v>
      </c>
      <c r="M688" s="12" t="s">
        <v>16802</v>
      </c>
      <c r="N688" s="12" t="s">
        <v>1827</v>
      </c>
    </row>
    <row r="689" spans="1:14">
      <c r="A689" s="12" t="s">
        <v>9629</v>
      </c>
      <c r="B689" s="8">
        <v>14532.5445603644</v>
      </c>
      <c r="C689" s="12">
        <v>36311.122542694902</v>
      </c>
      <c r="D689" s="8">
        <v>-1.3211241988873399</v>
      </c>
      <c r="E689" s="12">
        <v>2.46149423877622E-3</v>
      </c>
      <c r="F689" s="8" t="s">
        <v>9630</v>
      </c>
      <c r="G689" s="12" t="s">
        <v>9631</v>
      </c>
      <c r="H689" s="12">
        <v>1</v>
      </c>
      <c r="I689" s="13" t="str">
        <f>HYPERLINK("http://www.ncbi.nlm.nih.gov/gene/79019", "79019")</f>
        <v>79019</v>
      </c>
      <c r="J689" s="12" t="s">
        <v>19239</v>
      </c>
      <c r="K689" s="12" t="s">
        <v>19240</v>
      </c>
      <c r="L689" s="13" t="str">
        <f>HYPERLINK("http://asia.ensembl.org/Homo_sapiens/Gene/Summary?g=ENSG00000100162", "ENSG00000100162")</f>
        <v>ENSG00000100162</v>
      </c>
      <c r="M689" s="12" t="s">
        <v>19241</v>
      </c>
      <c r="N689" s="12" t="s">
        <v>19242</v>
      </c>
    </row>
    <row r="690" spans="1:14">
      <c r="A690" s="12" t="s">
        <v>10379</v>
      </c>
      <c r="B690" s="8">
        <v>10675.2762820441</v>
      </c>
      <c r="C690" s="12">
        <v>26668.380692191899</v>
      </c>
      <c r="D690" s="8">
        <v>-1.32085681883038</v>
      </c>
      <c r="E690" s="12">
        <v>6.2911279871644696E-4</v>
      </c>
      <c r="F690" s="8" t="s">
        <v>2694</v>
      </c>
      <c r="G690" s="12" t="s">
        <v>2695</v>
      </c>
      <c r="H690" s="12">
        <v>1</v>
      </c>
      <c r="I690" s="13" t="str">
        <f>HYPERLINK("http://www.ncbi.nlm.nih.gov/gene/440026", "440026")</f>
        <v>440026</v>
      </c>
      <c r="J690" s="12" t="s">
        <v>19705</v>
      </c>
      <c r="K690" s="12" t="s">
        <v>19706</v>
      </c>
      <c r="L690" s="13" t="str">
        <f>HYPERLINK("http://asia.ensembl.org/Homo_sapiens/Gene/Summary?g=ENSG00000166471", "ENSG00000166471")</f>
        <v>ENSG00000166471</v>
      </c>
      <c r="M690" s="12" t="s">
        <v>12750</v>
      </c>
      <c r="N690" s="12" t="s">
        <v>12751</v>
      </c>
    </row>
    <row r="691" spans="1:14">
      <c r="A691" s="12" t="s">
        <v>4261</v>
      </c>
      <c r="B691" s="8">
        <v>117.135891887632</v>
      </c>
      <c r="C691" s="12">
        <v>292.48663374480998</v>
      </c>
      <c r="D691" s="8">
        <v>-1.32018749373004</v>
      </c>
      <c r="E691" s="12">
        <v>2.1529783438565299E-3</v>
      </c>
      <c r="F691" s="8" t="s">
        <v>4262</v>
      </c>
      <c r="G691" s="12" t="s">
        <v>17636</v>
      </c>
      <c r="H691" s="12">
        <v>1</v>
      </c>
      <c r="I691" s="13" t="str">
        <f>HYPERLINK("http://www.ncbi.nlm.nih.gov/gene/317772", "317772")</f>
        <v>317772</v>
      </c>
      <c r="J691" s="13" t="str">
        <f>HYPERLINK("http://www.ncbi.nlm.nih.gov/nuccore/NM_175065", "NM_175065")</f>
        <v>NM_175065</v>
      </c>
      <c r="K691" s="12" t="s">
        <v>4263</v>
      </c>
      <c r="L691" s="13" t="str">
        <f>HYPERLINK("http://asia.ensembl.org/Homo_sapiens/Gene/Summary?g=ENSG00000184270", "ENSG00000184270")</f>
        <v>ENSG00000184270</v>
      </c>
      <c r="M691" s="12" t="s">
        <v>4264</v>
      </c>
      <c r="N691" s="12" t="s">
        <v>4265</v>
      </c>
    </row>
    <row r="692" spans="1:14">
      <c r="A692" s="12" t="s">
        <v>6145</v>
      </c>
      <c r="B692" s="8">
        <v>88.580771957262996</v>
      </c>
      <c r="C692" s="12">
        <v>221.096437823825</v>
      </c>
      <c r="D692" s="8">
        <v>-1.3196103064003799</v>
      </c>
      <c r="E692" s="12">
        <v>2.4041501951130601E-2</v>
      </c>
      <c r="F692" s="8" t="s">
        <v>6146</v>
      </c>
      <c r="G692" s="12" t="s">
        <v>6147</v>
      </c>
      <c r="H692" s="12">
        <v>1</v>
      </c>
      <c r="I692" s="13" t="str">
        <f>HYPERLINK("http://www.ncbi.nlm.nih.gov/gene/347088", "347088")</f>
        <v>347088</v>
      </c>
      <c r="J692" s="12" t="s">
        <v>18067</v>
      </c>
      <c r="K692" s="12" t="s">
        <v>18068</v>
      </c>
      <c r="L692" s="12" t="s">
        <v>38</v>
      </c>
      <c r="M692" s="12" t="s">
        <v>38</v>
      </c>
      <c r="N692" s="12" t="s">
        <v>38</v>
      </c>
    </row>
    <row r="693" spans="1:14">
      <c r="A693" s="12" t="s">
        <v>6935</v>
      </c>
      <c r="B693" s="8">
        <v>29233.748479696798</v>
      </c>
      <c r="C693" s="12">
        <v>72958.283108936404</v>
      </c>
      <c r="D693" s="8">
        <v>-1.3194369499727701</v>
      </c>
      <c r="E693" s="12">
        <v>3.64976226277795E-3</v>
      </c>
      <c r="F693" s="8" t="s">
        <v>6936</v>
      </c>
      <c r="G693" s="12" t="s">
        <v>15570</v>
      </c>
      <c r="H693" s="12">
        <v>1</v>
      </c>
      <c r="I693" s="13" t="str">
        <f>HYPERLINK("http://www.ncbi.nlm.nih.gov/gene/5691", "5691")</f>
        <v>5691</v>
      </c>
      <c r="J693" s="13" t="str">
        <f>HYPERLINK("http://www.ncbi.nlm.nih.gov/nuccore/NM_002795", "NM_002795")</f>
        <v>NM_002795</v>
      </c>
      <c r="K693" s="12" t="s">
        <v>6937</v>
      </c>
      <c r="L693" s="13" t="str">
        <f>HYPERLINK("http://asia.ensembl.org/Homo_sapiens/Gene/Summary?g=ENSG00000277791", "ENSG00000277791")</f>
        <v>ENSG00000277791</v>
      </c>
      <c r="M693" s="12" t="s">
        <v>18308</v>
      </c>
      <c r="N693" s="12" t="s">
        <v>18309</v>
      </c>
    </row>
    <row r="694" spans="1:14">
      <c r="A694" s="12" t="s">
        <v>5102</v>
      </c>
      <c r="B694" s="8">
        <v>717.51750783584896</v>
      </c>
      <c r="C694" s="12">
        <v>1790.19659804513</v>
      </c>
      <c r="D694" s="8">
        <v>-1.31903209196394</v>
      </c>
      <c r="E694" s="12">
        <v>1.92810449104019E-3</v>
      </c>
      <c r="F694" s="8" t="s">
        <v>5103</v>
      </c>
      <c r="G694" s="12" t="s">
        <v>5104</v>
      </c>
      <c r="H694" s="12">
        <v>1</v>
      </c>
      <c r="I694" s="13" t="str">
        <f>HYPERLINK("http://www.ncbi.nlm.nih.gov/gene/90007", "90007")</f>
        <v>90007</v>
      </c>
      <c r="J694" s="13" t="str">
        <f>HYPERLINK("http://www.ncbi.nlm.nih.gov/nuccore/NM_177401", "NM_177401")</f>
        <v>NM_177401</v>
      </c>
      <c r="K694" s="12" t="s">
        <v>5105</v>
      </c>
      <c r="L694" s="13" t="str">
        <f>HYPERLINK("http://asia.ensembl.org/Homo_sapiens/Gene/Summary?g=ENSG00000167470", "ENSG00000167470")</f>
        <v>ENSG00000167470</v>
      </c>
      <c r="M694" s="12" t="s">
        <v>17797</v>
      </c>
      <c r="N694" s="12" t="s">
        <v>17798</v>
      </c>
    </row>
    <row r="695" spans="1:14">
      <c r="A695" s="12" t="s">
        <v>2260</v>
      </c>
      <c r="B695" s="8">
        <v>101.229357917222</v>
      </c>
      <c r="C695" s="12">
        <v>252.423759785485</v>
      </c>
      <c r="D695" s="8">
        <v>-1.3182199603853499</v>
      </c>
      <c r="E695" s="12">
        <v>1.6307189217225099E-4</v>
      </c>
      <c r="F695" s="8" t="s">
        <v>2261</v>
      </c>
      <c r="G695" s="12" t="s">
        <v>2262</v>
      </c>
      <c r="H695" s="12">
        <v>1</v>
      </c>
      <c r="I695" s="13" t="str">
        <f>HYPERLINK("http://www.ncbi.nlm.nih.gov/gene/283078", "283078")</f>
        <v>283078</v>
      </c>
      <c r="J695" s="12" t="s">
        <v>16963</v>
      </c>
      <c r="K695" s="12" t="s">
        <v>16964</v>
      </c>
      <c r="L695" s="13" t="str">
        <f>HYPERLINK("http://asia.ensembl.org/Homo_sapiens/Gene/Summary?g=ENSG00000150051", "ENSG00000150051")</f>
        <v>ENSG00000150051</v>
      </c>
      <c r="M695" s="12" t="s">
        <v>16965</v>
      </c>
      <c r="N695" s="12" t="s">
        <v>16966</v>
      </c>
    </row>
    <row r="696" spans="1:14">
      <c r="A696" s="12" t="s">
        <v>8564</v>
      </c>
      <c r="B696" s="8">
        <v>27533.658622086201</v>
      </c>
      <c r="C696" s="12">
        <v>68640.723845007902</v>
      </c>
      <c r="D696" s="8">
        <v>-1.3178684413938699</v>
      </c>
      <c r="E696" s="12">
        <v>4.4206471509983603E-3</v>
      </c>
      <c r="F696" s="8" t="s">
        <v>4247</v>
      </c>
      <c r="G696" s="12" t="s">
        <v>4248</v>
      </c>
      <c r="H696" s="12">
        <v>1</v>
      </c>
      <c r="I696" s="13" t="str">
        <f>HYPERLINK("http://www.ncbi.nlm.nih.gov/gene/2079", "2079")</f>
        <v>2079</v>
      </c>
      <c r="J696" s="13" t="str">
        <f>HYPERLINK("http://www.ncbi.nlm.nih.gov/nuccore/NM_004450", "NM_004450")</f>
        <v>NM_004450</v>
      </c>
      <c r="K696" s="12" t="s">
        <v>4249</v>
      </c>
      <c r="L696" s="13" t="str">
        <f>HYPERLINK("http://asia.ensembl.org/Homo_sapiens/Gene/Summary?g=ENSG00000100632", "ENSG00000100632")</f>
        <v>ENSG00000100632</v>
      </c>
      <c r="M696" s="12" t="s">
        <v>17630</v>
      </c>
      <c r="N696" s="12" t="s">
        <v>17631</v>
      </c>
    </row>
    <row r="697" spans="1:14">
      <c r="A697" s="12" t="s">
        <v>7382</v>
      </c>
      <c r="B697" s="8">
        <v>387.42996875994402</v>
      </c>
      <c r="C697" s="12">
        <v>965.22772933634496</v>
      </c>
      <c r="D697" s="8">
        <v>-1.3169338076660799</v>
      </c>
      <c r="E697" s="12">
        <v>2.7982222862863899E-3</v>
      </c>
      <c r="F697" s="8" t="s">
        <v>7383</v>
      </c>
      <c r="G697" s="12" t="s">
        <v>7384</v>
      </c>
      <c r="H697" s="12">
        <v>1</v>
      </c>
      <c r="I697" s="13" t="str">
        <f>HYPERLINK("http://www.ncbi.nlm.nih.gov/gene/51363", "51363")</f>
        <v>51363</v>
      </c>
      <c r="J697" s="12" t="s">
        <v>18497</v>
      </c>
      <c r="K697" s="12" t="s">
        <v>18498</v>
      </c>
      <c r="L697" s="13" t="str">
        <f>HYPERLINK("http://asia.ensembl.org/Homo_sapiens/Gene/Summary?g=ENSG00000182022", "ENSG00000182022")</f>
        <v>ENSG00000182022</v>
      </c>
      <c r="M697" s="12" t="s">
        <v>18499</v>
      </c>
      <c r="N697" s="12" t="s">
        <v>18500</v>
      </c>
    </row>
    <row r="698" spans="1:14">
      <c r="A698" s="12" t="s">
        <v>2051</v>
      </c>
      <c r="B698" s="8">
        <v>21268.295410473002</v>
      </c>
      <c r="C698" s="12">
        <v>52973.322064477601</v>
      </c>
      <c r="D698" s="8">
        <v>-1.31656157551521</v>
      </c>
      <c r="E698" s="12">
        <v>3.1153475877430501E-3</v>
      </c>
      <c r="F698" s="8" t="s">
        <v>2052</v>
      </c>
      <c r="G698" s="12" t="s">
        <v>2053</v>
      </c>
      <c r="H698" s="12">
        <v>1</v>
      </c>
      <c r="I698" s="13" t="str">
        <f>HYPERLINK("http://www.ncbi.nlm.nih.gov/gene/51398", "51398")</f>
        <v>51398</v>
      </c>
      <c r="J698" s="13" t="str">
        <f>HYPERLINK("http://www.ncbi.nlm.nih.gov/nuccore/NM_016145", "NM_016145")</f>
        <v>NM_016145</v>
      </c>
      <c r="K698" s="12" t="s">
        <v>2054</v>
      </c>
      <c r="L698" s="13" t="str">
        <f>HYPERLINK("http://asia.ensembl.org/Homo_sapiens/Gene/Summary?g=ENSG00000105583", "ENSG00000105583")</f>
        <v>ENSG00000105583</v>
      </c>
      <c r="M698" s="12" t="s">
        <v>16899</v>
      </c>
      <c r="N698" s="12" t="s">
        <v>16900</v>
      </c>
    </row>
    <row r="699" spans="1:14">
      <c r="A699" s="12" t="s">
        <v>1067</v>
      </c>
      <c r="B699" s="8">
        <v>9401.3323994332004</v>
      </c>
      <c r="C699" s="12">
        <v>23412.259317035099</v>
      </c>
      <c r="D699" s="8">
        <v>-1.3163270216627301</v>
      </c>
      <c r="E699" s="12">
        <v>7.8574210261968399E-4</v>
      </c>
      <c r="F699" s="8" t="s">
        <v>1068</v>
      </c>
      <c r="G699" s="12" t="s">
        <v>1069</v>
      </c>
      <c r="H699" s="12">
        <v>1</v>
      </c>
      <c r="I699" s="13" t="str">
        <f>HYPERLINK("http://www.ncbi.nlm.nih.gov/gene/23557", "23557")</f>
        <v>23557</v>
      </c>
      <c r="J699" s="12" t="s">
        <v>16497</v>
      </c>
      <c r="K699" s="12" t="s">
        <v>16498</v>
      </c>
      <c r="L699" s="13" t="str">
        <f>HYPERLINK("http://asia.ensembl.org/Homo_sapiens/Gene/Summary?g=ENSG00000143553", "ENSG00000143553")</f>
        <v>ENSG00000143553</v>
      </c>
      <c r="M699" s="12" t="s">
        <v>16499</v>
      </c>
      <c r="N699" s="12" t="s">
        <v>1070</v>
      </c>
    </row>
    <row r="700" spans="1:14">
      <c r="A700" s="12" t="s">
        <v>7915</v>
      </c>
      <c r="B700" s="8">
        <v>572.15373982518304</v>
      </c>
      <c r="C700" s="12">
        <v>1424.80426697292</v>
      </c>
      <c r="D700" s="8">
        <v>-1.31628898041109</v>
      </c>
      <c r="E700" s="12">
        <v>3.2755657644326602E-3</v>
      </c>
      <c r="F700" s="8" t="s">
        <v>7916</v>
      </c>
      <c r="G700" s="12" t="s">
        <v>18663</v>
      </c>
      <c r="H700" s="12">
        <v>1</v>
      </c>
      <c r="I700" s="13" t="str">
        <f>HYPERLINK("http://www.ncbi.nlm.nih.gov/gene/4636", "4636")</f>
        <v>4636</v>
      </c>
      <c r="J700" s="13" t="str">
        <f>HYPERLINK("http://www.ncbi.nlm.nih.gov/nuccore/NM_002477", "NM_002477")</f>
        <v>NM_002477</v>
      </c>
      <c r="K700" s="12" t="s">
        <v>7917</v>
      </c>
      <c r="L700" s="13" t="str">
        <f>HYPERLINK("http://asia.ensembl.org/Homo_sapiens/Gene/Summary?g=ENSG00000215375", "ENSG00000215375")</f>
        <v>ENSG00000215375</v>
      </c>
      <c r="M700" s="12" t="s">
        <v>18664</v>
      </c>
      <c r="N700" s="12" t="s">
        <v>18665</v>
      </c>
    </row>
    <row r="701" spans="1:14">
      <c r="A701" s="12" t="s">
        <v>11794</v>
      </c>
      <c r="B701" s="8">
        <v>11236.211997399299</v>
      </c>
      <c r="C701" s="12">
        <v>27971.097111867701</v>
      </c>
      <c r="D701" s="8">
        <v>-1.3157810921827899</v>
      </c>
      <c r="E701" s="12">
        <v>4.1829116654047401E-3</v>
      </c>
      <c r="F701" s="8" t="s">
        <v>11795</v>
      </c>
      <c r="G701" s="12" t="s">
        <v>924</v>
      </c>
      <c r="H701" s="12">
        <v>1</v>
      </c>
      <c r="I701" s="13" t="str">
        <f>HYPERLINK("http://www.ncbi.nlm.nih.gov/gene/79833", "79833")</f>
        <v>79833</v>
      </c>
      <c r="J701" s="13" t="str">
        <f>HYPERLINK("http://www.ncbi.nlm.nih.gov/nuccore/NM_024775", "NM_024775")</f>
        <v>NM_024775</v>
      </c>
      <c r="K701" s="12" t="s">
        <v>11796</v>
      </c>
      <c r="L701" s="13" t="str">
        <f>HYPERLINK("http://asia.ensembl.org/Homo_sapiens/Gene/Summary?g=ENSG00000152147", "ENSG00000152147")</f>
        <v>ENSG00000152147</v>
      </c>
      <c r="M701" s="12" t="s">
        <v>20212</v>
      </c>
      <c r="N701" s="12" t="s">
        <v>20213</v>
      </c>
    </row>
    <row r="702" spans="1:14">
      <c r="A702" s="12" t="s">
        <v>10506</v>
      </c>
      <c r="B702" s="8">
        <v>753.845917944897</v>
      </c>
      <c r="C702" s="12">
        <v>1876.24800518848</v>
      </c>
      <c r="D702" s="8">
        <v>-1.3155089583614401</v>
      </c>
      <c r="E702" s="12">
        <v>2.9361274649969201E-3</v>
      </c>
      <c r="F702" s="8" t="s">
        <v>4460</v>
      </c>
      <c r="G702" s="12" t="s">
        <v>4461</v>
      </c>
      <c r="H702" s="12">
        <v>1</v>
      </c>
      <c r="I702" s="13" t="str">
        <f>HYPERLINK("http://www.ncbi.nlm.nih.gov/gene/4684", "4684")</f>
        <v>4684</v>
      </c>
      <c r="J702" s="12" t="s">
        <v>19760</v>
      </c>
      <c r="K702" s="12" t="s">
        <v>19761</v>
      </c>
      <c r="L702" s="13" t="str">
        <f>HYPERLINK("http://asia.ensembl.org/Homo_sapiens/Gene/Summary?g=ENSG00000149294", "ENSG00000149294")</f>
        <v>ENSG00000149294</v>
      </c>
      <c r="M702" s="12" t="s">
        <v>19762</v>
      </c>
      <c r="N702" s="12" t="s">
        <v>19763</v>
      </c>
    </row>
    <row r="703" spans="1:14">
      <c r="A703" s="12" t="s">
        <v>10867</v>
      </c>
      <c r="B703" s="8">
        <v>93916.686980078695</v>
      </c>
      <c r="C703" s="12">
        <v>233749.33469823201</v>
      </c>
      <c r="D703" s="8">
        <v>-1.31550883706074</v>
      </c>
      <c r="E703" s="12">
        <v>5.8494727570007898E-3</v>
      </c>
      <c r="F703" s="8" t="s">
        <v>7282</v>
      </c>
      <c r="G703" s="12" t="s">
        <v>7283</v>
      </c>
      <c r="H703" s="12">
        <v>1</v>
      </c>
      <c r="I703" s="13" t="str">
        <f>HYPERLINK("http://www.ncbi.nlm.nih.gov/gene/6637", "6637")</f>
        <v>6637</v>
      </c>
      <c r="J703" s="13" t="str">
        <f>HYPERLINK("http://www.ncbi.nlm.nih.gov/nuccore/NM_003096", "NM_003096")</f>
        <v>NM_003096</v>
      </c>
      <c r="K703" s="12" t="s">
        <v>7284</v>
      </c>
      <c r="L703" s="13" t="str">
        <f>HYPERLINK("http://asia.ensembl.org/Homo_sapiens/Gene/Summary?g=ENSG00000143977", "ENSG00000143977")</f>
        <v>ENSG00000143977</v>
      </c>
      <c r="M703" s="12" t="s">
        <v>18457</v>
      </c>
      <c r="N703" s="12" t="s">
        <v>18458</v>
      </c>
    </row>
    <row r="704" spans="1:14">
      <c r="A704" s="12" t="s">
        <v>2192</v>
      </c>
      <c r="B704" s="8">
        <v>2039.0032268996699</v>
      </c>
      <c r="C704" s="12">
        <v>5074.4056536998896</v>
      </c>
      <c r="D704" s="8">
        <v>-1.3153747961309501</v>
      </c>
      <c r="E704" s="12">
        <v>5.58956479116921E-3</v>
      </c>
      <c r="F704" s="8" t="s">
        <v>2193</v>
      </c>
      <c r="G704" s="12" t="s">
        <v>2194</v>
      </c>
      <c r="H704" s="12">
        <v>1</v>
      </c>
      <c r="I704" s="13" t="str">
        <f>HYPERLINK("http://www.ncbi.nlm.nih.gov/gene/81620", "81620")</f>
        <v>81620</v>
      </c>
      <c r="J704" s="13" t="str">
        <f>HYPERLINK("http://www.ncbi.nlm.nih.gov/nuccore/NM_030928", "NM_030928")</f>
        <v>NM_030928</v>
      </c>
      <c r="K704" s="12" t="s">
        <v>2195</v>
      </c>
      <c r="L704" s="13" t="str">
        <f>HYPERLINK("http://asia.ensembl.org/Homo_sapiens/Gene/Summary?g=ENSG00000167513", "ENSG00000167513")</f>
        <v>ENSG00000167513</v>
      </c>
      <c r="M704" s="12" t="s">
        <v>16956</v>
      </c>
      <c r="N704" s="12" t="s">
        <v>16957</v>
      </c>
    </row>
    <row r="705" spans="1:14">
      <c r="A705" s="12" t="s">
        <v>4708</v>
      </c>
      <c r="B705" s="8">
        <v>5061.2822186514204</v>
      </c>
      <c r="C705" s="12">
        <v>12588.6159648468</v>
      </c>
      <c r="D705" s="8">
        <v>-1.31454485016678</v>
      </c>
      <c r="E705" s="12">
        <v>4.5271058345627002E-3</v>
      </c>
      <c r="F705" s="8" t="s">
        <v>4709</v>
      </c>
      <c r="G705" s="12" t="s">
        <v>17736</v>
      </c>
      <c r="H705" s="12">
        <v>1</v>
      </c>
      <c r="I705" s="13" t="str">
        <f>HYPERLINK("http://www.ncbi.nlm.nih.gov/gene/11157", "11157")</f>
        <v>11157</v>
      </c>
      <c r="J705" s="13" t="str">
        <f>HYPERLINK("http://www.ncbi.nlm.nih.gov/nuccore/NM_007080", "NM_007080")</f>
        <v>NM_007080</v>
      </c>
      <c r="K705" s="12" t="s">
        <v>4710</v>
      </c>
      <c r="L705" s="13" t="str">
        <f>HYPERLINK("http://asia.ensembl.org/Homo_sapiens/Gene/Summary?g=ENSG00000164167", "ENSG00000164167")</f>
        <v>ENSG00000164167</v>
      </c>
      <c r="M705" s="12" t="s">
        <v>17737</v>
      </c>
      <c r="N705" s="12" t="s">
        <v>17738</v>
      </c>
    </row>
    <row r="706" spans="1:14">
      <c r="A706" s="12" t="s">
        <v>2920</v>
      </c>
      <c r="B706" s="8">
        <v>55.9727497913387</v>
      </c>
      <c r="C706" s="12">
        <v>139.14340076139999</v>
      </c>
      <c r="D706" s="8">
        <v>-1.31377595638589</v>
      </c>
      <c r="E706" s="12">
        <v>2.3129262979129699E-2</v>
      </c>
      <c r="F706" s="8" t="s">
        <v>2921</v>
      </c>
      <c r="G706" s="12" t="s">
        <v>17130</v>
      </c>
      <c r="H706" s="12">
        <v>1</v>
      </c>
      <c r="I706" s="13" t="str">
        <f>HYPERLINK("http://www.ncbi.nlm.nih.gov/gene/10716", "10716")</f>
        <v>10716</v>
      </c>
      <c r="J706" s="13" t="str">
        <f>HYPERLINK("http://www.ncbi.nlm.nih.gov/nuccore/NM_006593", "NM_006593")</f>
        <v>NM_006593</v>
      </c>
      <c r="K706" s="12" t="s">
        <v>2922</v>
      </c>
      <c r="L706" s="13" t="str">
        <f>HYPERLINK("http://asia.ensembl.org/Homo_sapiens/Gene/Summary?g=ENSG00000136535", "ENSG00000136535")</f>
        <v>ENSG00000136535</v>
      </c>
      <c r="M706" s="12" t="s">
        <v>17131</v>
      </c>
      <c r="N706" s="12" t="s">
        <v>17132</v>
      </c>
    </row>
    <row r="707" spans="1:14">
      <c r="A707" s="12" t="s">
        <v>10371</v>
      </c>
      <c r="B707" s="8">
        <v>1450.0230155028601</v>
      </c>
      <c r="C707" s="12">
        <v>3604.3936594318302</v>
      </c>
      <c r="D707" s="8">
        <v>-1.3136807863166999</v>
      </c>
      <c r="E707" s="12">
        <v>1.68154200579359E-2</v>
      </c>
      <c r="F707" s="8" t="s">
        <v>10372</v>
      </c>
      <c r="G707" s="12" t="s">
        <v>10373</v>
      </c>
      <c r="H707" s="12">
        <v>1</v>
      </c>
      <c r="I707" s="13" t="str">
        <f>HYPERLINK("http://www.ncbi.nlm.nih.gov/gene/390010", "390010")</f>
        <v>390010</v>
      </c>
      <c r="J707" s="13" t="str">
        <f>HYPERLINK("http://www.ncbi.nlm.nih.gov/nuccore/NM_001146340", "NM_001146340")</f>
        <v>NM_001146340</v>
      </c>
      <c r="K707" s="12" t="s">
        <v>10374</v>
      </c>
      <c r="L707" s="13" t="str">
        <f>HYPERLINK("http://asia.ensembl.org/Homo_sapiens/Gene/Summary?g=ENSG00000229544", "ENSG00000229544")</f>
        <v>ENSG00000229544</v>
      </c>
      <c r="M707" s="12" t="s">
        <v>10375</v>
      </c>
      <c r="N707" s="12" t="s">
        <v>10376</v>
      </c>
    </row>
    <row r="708" spans="1:14">
      <c r="A708" s="12" t="s">
        <v>1550</v>
      </c>
      <c r="B708" s="8">
        <v>13269.53224421</v>
      </c>
      <c r="C708" s="12">
        <v>32970.148147694003</v>
      </c>
      <c r="D708" s="8">
        <v>-1.31304285352787</v>
      </c>
      <c r="E708" s="12">
        <v>6.0303488552874698E-3</v>
      </c>
      <c r="F708" s="8" t="s">
        <v>1551</v>
      </c>
      <c r="G708" s="12" t="s">
        <v>1552</v>
      </c>
      <c r="H708" s="12">
        <v>1</v>
      </c>
      <c r="I708" s="13" t="str">
        <f>HYPERLINK("http://www.ncbi.nlm.nih.gov/gene/28984", "28984")</f>
        <v>28984</v>
      </c>
      <c r="J708" s="13" t="str">
        <f>HYPERLINK("http://www.ncbi.nlm.nih.gov/nuccore/NM_014059", "NM_014059")</f>
        <v>NM_014059</v>
      </c>
      <c r="K708" s="12" t="s">
        <v>1553</v>
      </c>
      <c r="L708" s="13" t="str">
        <f>HYPERLINK("http://asia.ensembl.org/Homo_sapiens/Gene/Summary?g=ENSG00000102760", "ENSG00000102760")</f>
        <v>ENSG00000102760</v>
      </c>
      <c r="M708" s="12" t="s">
        <v>16681</v>
      </c>
      <c r="N708" s="12" t="s">
        <v>1554</v>
      </c>
    </row>
    <row r="709" spans="1:14">
      <c r="A709" s="12" t="s">
        <v>8459</v>
      </c>
      <c r="B709" s="8">
        <v>327.09677602950302</v>
      </c>
      <c r="C709" s="12">
        <v>812.47047441556003</v>
      </c>
      <c r="D709" s="8">
        <v>-1.31259784589309</v>
      </c>
      <c r="E709" s="12">
        <v>4.8339721691955098E-3</v>
      </c>
      <c r="F709" s="8" t="s">
        <v>8460</v>
      </c>
      <c r="G709" s="12" t="s">
        <v>8461</v>
      </c>
      <c r="H709" s="12">
        <v>1</v>
      </c>
      <c r="I709" s="13" t="str">
        <f>HYPERLINK("http://www.ncbi.nlm.nih.gov/gene/91647", "91647")</f>
        <v>91647</v>
      </c>
      <c r="J709" s="13" t="str">
        <f>HYPERLINK("http://www.ncbi.nlm.nih.gov/nuccore/NM_145691", "NM_145691")</f>
        <v>NM_145691</v>
      </c>
      <c r="K709" s="12" t="s">
        <v>8462</v>
      </c>
      <c r="L709" s="13" t="str">
        <f>HYPERLINK("http://asia.ensembl.org/Homo_sapiens/Gene/Summary?g=ENSG00000171953", "ENSG00000171953")</f>
        <v>ENSG00000171953</v>
      </c>
      <c r="M709" s="12" t="s">
        <v>18852</v>
      </c>
      <c r="N709" s="12" t="s">
        <v>18853</v>
      </c>
    </row>
    <row r="710" spans="1:14">
      <c r="A710" s="12" t="s">
        <v>9886</v>
      </c>
      <c r="B710" s="8">
        <v>8235.0834026790708</v>
      </c>
      <c r="C710" s="12">
        <v>20417.112867373398</v>
      </c>
      <c r="D710" s="8">
        <v>-1.3099237063977101</v>
      </c>
      <c r="E710" s="12">
        <v>6.0569558301006602E-3</v>
      </c>
      <c r="F710" s="8" t="s">
        <v>9887</v>
      </c>
      <c r="G710" s="12" t="s">
        <v>9888</v>
      </c>
      <c r="H710" s="12">
        <v>1</v>
      </c>
      <c r="I710" s="13" t="str">
        <f>HYPERLINK("http://www.ncbi.nlm.nih.gov/gene/84326", "84326")</f>
        <v>84326</v>
      </c>
      <c r="J710" s="12" t="s">
        <v>19393</v>
      </c>
      <c r="K710" s="12" t="s">
        <v>19394</v>
      </c>
      <c r="L710" s="13" t="str">
        <f>HYPERLINK("http://asia.ensembl.org/Homo_sapiens/Gene/Summary?g=ENSG00000130731", "ENSG00000130731")</f>
        <v>ENSG00000130731</v>
      </c>
      <c r="M710" s="12" t="s">
        <v>19395</v>
      </c>
      <c r="N710" s="12" t="s">
        <v>19396</v>
      </c>
    </row>
    <row r="711" spans="1:14">
      <c r="A711" s="12" t="s">
        <v>7789</v>
      </c>
      <c r="B711" s="8">
        <v>15011.776387198899</v>
      </c>
      <c r="C711" s="12">
        <v>37206.938819716997</v>
      </c>
      <c r="D711" s="8">
        <v>-1.30947699304684</v>
      </c>
      <c r="E711" s="12">
        <v>5.5541416695499999E-3</v>
      </c>
      <c r="F711" s="8" t="s">
        <v>3683</v>
      </c>
      <c r="G711" s="12" t="s">
        <v>3684</v>
      </c>
      <c r="H711" s="12">
        <v>1</v>
      </c>
      <c r="I711" s="13" t="str">
        <f>HYPERLINK("http://www.ncbi.nlm.nih.gov/gene/64928", "64928")</f>
        <v>64928</v>
      </c>
      <c r="J711" s="13" t="str">
        <f>HYPERLINK("http://www.ncbi.nlm.nih.gov/nuccore/NM_032111", "NM_032111")</f>
        <v>NM_032111</v>
      </c>
      <c r="K711" s="12" t="s">
        <v>3685</v>
      </c>
      <c r="L711" s="13" t="str">
        <f>HYPERLINK("http://asia.ensembl.org/Homo_sapiens/Gene/Summary?g=ENSG00000180992", "ENSG00000180992")</f>
        <v>ENSG00000180992</v>
      </c>
      <c r="M711" s="12" t="s">
        <v>3686</v>
      </c>
      <c r="N711" s="12" t="s">
        <v>3687</v>
      </c>
    </row>
    <row r="712" spans="1:14">
      <c r="A712" s="12" t="s">
        <v>2413</v>
      </c>
      <c r="B712" s="8">
        <v>430.45752857324601</v>
      </c>
      <c r="C712" s="12">
        <v>1066.84331738781</v>
      </c>
      <c r="D712" s="8">
        <v>-1.3094055042802899</v>
      </c>
      <c r="E712" s="12">
        <v>3.9424196577059999E-2</v>
      </c>
      <c r="F712" s="8" t="s">
        <v>2414</v>
      </c>
      <c r="G712" s="12" t="s">
        <v>16998</v>
      </c>
      <c r="H712" s="12">
        <v>1</v>
      </c>
      <c r="I712" s="13" t="str">
        <f>HYPERLINK("http://www.ncbi.nlm.nih.gov/gene/123745", "123745")</f>
        <v>123745</v>
      </c>
      <c r="J712" s="13" t="str">
        <f>HYPERLINK("http://www.ncbi.nlm.nih.gov/nuccore/NM_001206670", "NM_001206670")</f>
        <v>NM_001206670</v>
      </c>
      <c r="K712" s="12" t="s">
        <v>2415</v>
      </c>
      <c r="L712" s="13" t="str">
        <f>HYPERLINK("http://asia.ensembl.org/Homo_sapiens/Gene/Summary?g=ENSG00000188089", "ENSG00000188089")</f>
        <v>ENSG00000188089</v>
      </c>
      <c r="M712" s="12" t="s">
        <v>16999</v>
      </c>
      <c r="N712" s="12" t="s">
        <v>2416</v>
      </c>
    </row>
    <row r="713" spans="1:14">
      <c r="A713" s="12" t="s">
        <v>2826</v>
      </c>
      <c r="B713" s="8">
        <v>53.618477949512098</v>
      </c>
      <c r="C713" s="12">
        <v>132.86403134269301</v>
      </c>
      <c r="D713" s="8">
        <v>-1.3091484225593399</v>
      </c>
      <c r="E713" s="12">
        <v>4.1232257563612297E-2</v>
      </c>
      <c r="F713" s="8" t="s">
        <v>2827</v>
      </c>
      <c r="G713" s="12" t="s">
        <v>2828</v>
      </c>
      <c r="H713" s="12">
        <v>1</v>
      </c>
      <c r="I713" s="13" t="str">
        <f>HYPERLINK("http://www.ncbi.nlm.nih.gov/gene/157983", "157983")</f>
        <v>157983</v>
      </c>
      <c r="J713" s="13" t="str">
        <f>HYPERLINK("http://www.ncbi.nlm.nih.gov/nuccore/NM_152569", "NM_152569")</f>
        <v>NM_152569</v>
      </c>
      <c r="K713" s="12" t="s">
        <v>2829</v>
      </c>
      <c r="L713" s="13" t="str">
        <f>HYPERLINK("http://asia.ensembl.org/Homo_sapiens/Gene/Summary?g=ENSG00000183784", "ENSG00000183784")</f>
        <v>ENSG00000183784</v>
      </c>
      <c r="M713" s="12" t="s">
        <v>2830</v>
      </c>
      <c r="N713" s="12" t="s">
        <v>2831</v>
      </c>
    </row>
    <row r="714" spans="1:14">
      <c r="A714" s="12" t="s">
        <v>6953</v>
      </c>
      <c r="B714" s="8">
        <v>87.802875743687906</v>
      </c>
      <c r="C714" s="12">
        <v>217.515080506045</v>
      </c>
      <c r="D714" s="8">
        <v>-1.30877533051871</v>
      </c>
      <c r="E714" s="12">
        <v>9.4231859409076996E-3</v>
      </c>
      <c r="F714" s="8" t="s">
        <v>6954</v>
      </c>
      <c r="G714" s="12" t="s">
        <v>6955</v>
      </c>
      <c r="H714" s="12">
        <v>1</v>
      </c>
      <c r="I714" s="13" t="str">
        <f>HYPERLINK("http://www.ncbi.nlm.nih.gov/gene/7122", "7122")</f>
        <v>7122</v>
      </c>
      <c r="J714" s="12" t="s">
        <v>18315</v>
      </c>
      <c r="K714" s="12" t="s">
        <v>18316</v>
      </c>
      <c r="L714" s="13" t="str">
        <f>HYPERLINK("http://asia.ensembl.org/Homo_sapiens/Gene/Summary?g=ENSG00000184113", "ENSG00000184113")</f>
        <v>ENSG00000184113</v>
      </c>
      <c r="M714" s="12" t="s">
        <v>18317</v>
      </c>
      <c r="N714" s="12" t="s">
        <v>18318</v>
      </c>
    </row>
    <row r="715" spans="1:14">
      <c r="A715" s="12" t="s">
        <v>5946</v>
      </c>
      <c r="B715" s="8">
        <v>62591.681560111698</v>
      </c>
      <c r="C715" s="12">
        <v>154940.1492091</v>
      </c>
      <c r="D715" s="8">
        <v>-1.3076681934032199</v>
      </c>
      <c r="E715" s="12">
        <v>5.2554986907613196E-3</v>
      </c>
      <c r="F715" s="8" t="s">
        <v>5947</v>
      </c>
      <c r="G715" s="12" t="s">
        <v>5948</v>
      </c>
      <c r="H715" s="12">
        <v>1</v>
      </c>
      <c r="I715" s="13" t="str">
        <f>HYPERLINK("http://www.ncbi.nlm.nih.gov/gene/746", "746")</f>
        <v>746</v>
      </c>
      <c r="J715" s="13" t="str">
        <f>HYPERLINK("http://www.ncbi.nlm.nih.gov/nuccore/NM_014206", "NM_014206")</f>
        <v>NM_014206</v>
      </c>
      <c r="K715" s="12" t="s">
        <v>5949</v>
      </c>
      <c r="L715" s="13" t="str">
        <f>HYPERLINK("http://asia.ensembl.org/Homo_sapiens/Gene/Summary?g=ENSG00000134825", "ENSG00000134825")</f>
        <v>ENSG00000134825</v>
      </c>
      <c r="M715" s="12" t="s">
        <v>18022</v>
      </c>
      <c r="N715" s="12" t="s">
        <v>18023</v>
      </c>
    </row>
    <row r="716" spans="1:14">
      <c r="A716" s="12" t="s">
        <v>7705</v>
      </c>
      <c r="B716" s="8">
        <v>1333.3240514536801</v>
      </c>
      <c r="C716" s="12">
        <v>3300.17210418581</v>
      </c>
      <c r="D716" s="8">
        <v>-1.3075138070188199</v>
      </c>
      <c r="E716" s="12">
        <v>3.8390361001368499E-3</v>
      </c>
      <c r="F716" s="8" t="s">
        <v>7706</v>
      </c>
      <c r="G716" s="12" t="s">
        <v>7707</v>
      </c>
      <c r="H716" s="12">
        <v>1</v>
      </c>
      <c r="I716" s="13" t="str">
        <f>HYPERLINK("http://www.ncbi.nlm.nih.gov/gene/389383", "389383")</f>
        <v>389383</v>
      </c>
      <c r="J716" s="13" t="str">
        <f>HYPERLINK("http://www.ncbi.nlm.nih.gov/nuccore/NM_207409", "NM_207409")</f>
        <v>NM_207409</v>
      </c>
      <c r="K716" s="12" t="s">
        <v>7708</v>
      </c>
      <c r="L716" s="13" t="str">
        <f>HYPERLINK("http://asia.ensembl.org/Homo_sapiens/Gene/Summary?g=ENSG00000196748", "ENSG00000196748")</f>
        <v>ENSG00000196748</v>
      </c>
      <c r="M716" s="12" t="s">
        <v>18627</v>
      </c>
      <c r="N716" s="12" t="s">
        <v>18628</v>
      </c>
    </row>
    <row r="717" spans="1:14">
      <c r="A717" s="12" t="s">
        <v>3717</v>
      </c>
      <c r="B717" s="8">
        <v>26503.166278668199</v>
      </c>
      <c r="C717" s="12">
        <v>65558.549742753006</v>
      </c>
      <c r="D717" s="8">
        <v>-1.30661921435248</v>
      </c>
      <c r="E717" s="12">
        <v>3.4452313726220599E-3</v>
      </c>
      <c r="F717" s="8" t="s">
        <v>3718</v>
      </c>
      <c r="G717" s="12" t="s">
        <v>3719</v>
      </c>
      <c r="H717" s="12">
        <v>1</v>
      </c>
      <c r="I717" s="13" t="str">
        <f>HYPERLINK("http://www.ncbi.nlm.nih.gov/gene/388789", "388789")</f>
        <v>388789</v>
      </c>
      <c r="J717" s="13" t="str">
        <f>HYPERLINK("http://www.ncbi.nlm.nih.gov/nuccore/NR_015432", "NR_015432")</f>
        <v>NR_015432</v>
      </c>
      <c r="K717" s="12" t="s">
        <v>199</v>
      </c>
      <c r="L717" s="12" t="s">
        <v>38</v>
      </c>
      <c r="M717" s="12" t="s">
        <v>38</v>
      </c>
      <c r="N717" s="12" t="s">
        <v>38</v>
      </c>
    </row>
    <row r="718" spans="1:14">
      <c r="A718" s="12" t="s">
        <v>8560</v>
      </c>
      <c r="B718" s="8">
        <v>10113.761576688299</v>
      </c>
      <c r="C718" s="12">
        <v>25001.604074410399</v>
      </c>
      <c r="D718" s="8">
        <v>-1.3057009858533</v>
      </c>
      <c r="E718" s="12">
        <v>1.8124224252428899E-3</v>
      </c>
      <c r="F718" s="8" t="s">
        <v>8561</v>
      </c>
      <c r="G718" s="12" t="s">
        <v>8562</v>
      </c>
      <c r="H718" s="12">
        <v>1</v>
      </c>
      <c r="I718" s="13" t="str">
        <f>HYPERLINK("http://www.ncbi.nlm.nih.gov/gene/440957", "440957")</f>
        <v>440957</v>
      </c>
      <c r="J718" s="13" t="str">
        <f>HYPERLINK("http://www.ncbi.nlm.nih.gov/nuccore/NM_001124767", "NM_001124767")</f>
        <v>NM_001124767</v>
      </c>
      <c r="K718" s="12" t="s">
        <v>8563</v>
      </c>
      <c r="L718" s="13" t="str">
        <f>HYPERLINK("http://asia.ensembl.org/Homo_sapiens/Gene/Summary?g=ENSG00000168273", "ENSG00000168273")</f>
        <v>ENSG00000168273</v>
      </c>
      <c r="M718" s="12" t="s">
        <v>18914</v>
      </c>
      <c r="N718" s="12" t="s">
        <v>16083</v>
      </c>
    </row>
    <row r="719" spans="1:14">
      <c r="A719" s="12" t="s">
        <v>508</v>
      </c>
      <c r="B719" s="8">
        <v>2854.2548774418501</v>
      </c>
      <c r="C719" s="12">
        <v>7054.8688405881503</v>
      </c>
      <c r="D719" s="8">
        <v>-1.3055050920159199</v>
      </c>
      <c r="E719" s="12">
        <v>1.3220584038511399E-3</v>
      </c>
      <c r="F719" s="8" t="s">
        <v>509</v>
      </c>
      <c r="G719" s="12" t="s">
        <v>510</v>
      </c>
      <c r="H719" s="12">
        <v>1</v>
      </c>
      <c r="I719" s="13" t="str">
        <f>HYPERLINK("http://www.ncbi.nlm.nih.gov/gene/51181", "51181")</f>
        <v>51181</v>
      </c>
      <c r="J719" s="12" t="s">
        <v>16358</v>
      </c>
      <c r="K719" s="12" t="s">
        <v>16359</v>
      </c>
      <c r="L719" s="13" t="str">
        <f>HYPERLINK("http://asia.ensembl.org/Homo_sapiens/Gene/Summary?g=ENSG00000169738", "ENSG00000169738")</f>
        <v>ENSG00000169738</v>
      </c>
      <c r="M719" s="12" t="s">
        <v>16360</v>
      </c>
      <c r="N719" s="12" t="s">
        <v>16361</v>
      </c>
    </row>
    <row r="720" spans="1:14">
      <c r="A720" s="12" t="s">
        <v>8446</v>
      </c>
      <c r="B720" s="8">
        <v>10148.5213988618</v>
      </c>
      <c r="C720" s="12">
        <v>25079.563256366298</v>
      </c>
      <c r="D720" s="8">
        <v>-1.3052426772832999</v>
      </c>
      <c r="E720" s="12">
        <v>9.8703749349683696E-3</v>
      </c>
      <c r="F720" s="8" t="s">
        <v>8447</v>
      </c>
      <c r="G720" s="12" t="s">
        <v>18835</v>
      </c>
      <c r="H720" s="12">
        <v>1</v>
      </c>
      <c r="I720" s="13" t="str">
        <f>HYPERLINK("http://www.ncbi.nlm.nih.gov/gene/1175", "1175")</f>
        <v>1175</v>
      </c>
      <c r="J720" s="12" t="s">
        <v>18836</v>
      </c>
      <c r="K720" s="12" t="s">
        <v>18837</v>
      </c>
      <c r="L720" s="13" t="str">
        <f>HYPERLINK("http://asia.ensembl.org/Homo_sapiens/Gene/Summary?g=ENSG00000042753", "ENSG00000042753")</f>
        <v>ENSG00000042753</v>
      </c>
      <c r="M720" s="12" t="s">
        <v>18838</v>
      </c>
      <c r="N720" s="12" t="s">
        <v>18839</v>
      </c>
    </row>
    <row r="721" spans="1:14">
      <c r="A721" s="12" t="s">
        <v>1984</v>
      </c>
      <c r="B721" s="8">
        <v>311.99979547724899</v>
      </c>
      <c r="C721" s="12">
        <v>770.76535257495595</v>
      </c>
      <c r="D721" s="8">
        <v>-1.3047466377300501</v>
      </c>
      <c r="E721" s="12">
        <v>1.40788474786567E-2</v>
      </c>
      <c r="F721" s="8" t="s">
        <v>1985</v>
      </c>
      <c r="G721" s="12" t="s">
        <v>1986</v>
      </c>
      <c r="H721" s="12">
        <v>1</v>
      </c>
      <c r="I721" s="13" t="str">
        <f>HYPERLINK("http://www.ncbi.nlm.nih.gov/gene/26468", "26468")</f>
        <v>26468</v>
      </c>
      <c r="J721" s="12" t="s">
        <v>16865</v>
      </c>
      <c r="K721" s="12" t="s">
        <v>16866</v>
      </c>
      <c r="L721" s="13" t="str">
        <f>HYPERLINK("http://asia.ensembl.org/Homo_sapiens/Gene/Summary?g=ENSG00000106852", "ENSG00000106852")</f>
        <v>ENSG00000106852</v>
      </c>
      <c r="M721" s="12" t="s">
        <v>16867</v>
      </c>
      <c r="N721" s="12" t="s">
        <v>16868</v>
      </c>
    </row>
    <row r="722" spans="1:14">
      <c r="A722" s="12" t="s">
        <v>7155</v>
      </c>
      <c r="B722" s="8">
        <v>113819.48448429701</v>
      </c>
      <c r="C722" s="12">
        <v>281151.92169722897</v>
      </c>
      <c r="D722" s="8">
        <v>-1.30460235756874</v>
      </c>
      <c r="E722" s="12">
        <v>4.1062136863285496E-3</v>
      </c>
      <c r="F722" s="8" t="s">
        <v>7156</v>
      </c>
      <c r="G722" s="12" t="s">
        <v>7157</v>
      </c>
      <c r="H722" s="12">
        <v>1</v>
      </c>
      <c r="I722" s="13" t="str">
        <f>HYPERLINK("http://www.ncbi.nlm.nih.gov/gene/6193", "6193")</f>
        <v>6193</v>
      </c>
      <c r="J722" s="13" t="str">
        <f>HYPERLINK("http://www.ncbi.nlm.nih.gov/nuccore/NM_001009", "NM_001009")</f>
        <v>NM_001009</v>
      </c>
      <c r="K722" s="12" t="s">
        <v>7158</v>
      </c>
      <c r="L722" s="13" t="str">
        <f>HYPERLINK("http://asia.ensembl.org/Homo_sapiens/Gene/Summary?g=ENSG00000083845", "ENSG00000083845")</f>
        <v>ENSG00000083845</v>
      </c>
      <c r="M722" s="12" t="s">
        <v>18394</v>
      </c>
      <c r="N722" s="12" t="s">
        <v>18395</v>
      </c>
    </row>
    <row r="723" spans="1:14">
      <c r="A723" s="12" t="s">
        <v>391</v>
      </c>
      <c r="B723" s="8">
        <v>6076.4778942544399</v>
      </c>
      <c r="C723" s="12">
        <v>15008.0945130085</v>
      </c>
      <c r="D723" s="8">
        <v>-1.3044335758643499</v>
      </c>
      <c r="E723" s="12">
        <v>1.7747843900065799E-2</v>
      </c>
      <c r="F723" s="8" t="s">
        <v>392</v>
      </c>
      <c r="G723" s="12" t="s">
        <v>393</v>
      </c>
      <c r="H723" s="12">
        <v>1</v>
      </c>
      <c r="I723" s="13" t="str">
        <f>HYPERLINK("http://www.ncbi.nlm.nih.gov/gene/113655", "113655")</f>
        <v>113655</v>
      </c>
      <c r="J723" s="13" t="str">
        <f>HYPERLINK("http://www.ncbi.nlm.nih.gov/nuccore/NM_138431", "NM_138431")</f>
        <v>NM_138431</v>
      </c>
      <c r="K723" s="12" t="s">
        <v>394</v>
      </c>
      <c r="L723" s="13" t="str">
        <f>HYPERLINK("http://asia.ensembl.org/Homo_sapiens/Gene/Summary?g=ENSG00000167700", "ENSG00000167700")</f>
        <v>ENSG00000167700</v>
      </c>
      <c r="M723" s="12" t="s">
        <v>16319</v>
      </c>
      <c r="N723" s="12" t="s">
        <v>395</v>
      </c>
    </row>
    <row r="724" spans="1:14">
      <c r="A724" s="12" t="s">
        <v>10225</v>
      </c>
      <c r="B724" s="8">
        <v>2547.8383474686102</v>
      </c>
      <c r="C724" s="12">
        <v>6290.3958859583199</v>
      </c>
      <c r="D724" s="8">
        <v>-1.30387707002883</v>
      </c>
      <c r="E724" s="12">
        <v>4.7260057697714204E-3</v>
      </c>
      <c r="F724" s="8" t="s">
        <v>7146</v>
      </c>
      <c r="G724" s="12" t="s">
        <v>7147</v>
      </c>
      <c r="H724" s="12">
        <v>1</v>
      </c>
      <c r="I724" s="13" t="str">
        <f>HYPERLINK("http://www.ncbi.nlm.nih.gov/gene/2395", "2395")</f>
        <v>2395</v>
      </c>
      <c r="J724" s="13" t="str">
        <f>HYPERLINK("http://www.ncbi.nlm.nih.gov/nuccore/NM_001161706", "NM_001161706")</f>
        <v>NM_001161706</v>
      </c>
      <c r="K724" s="12" t="s">
        <v>10226</v>
      </c>
      <c r="L724" s="13" t="str">
        <f>HYPERLINK("http://asia.ensembl.org/Homo_sapiens/Gene/Summary?g=ENSG00000165060", "ENSG00000165060")</f>
        <v>ENSG00000165060</v>
      </c>
      <c r="M724" s="12" t="s">
        <v>19606</v>
      </c>
      <c r="N724" s="12" t="s">
        <v>19607</v>
      </c>
    </row>
    <row r="725" spans="1:14">
      <c r="A725" s="12" t="s">
        <v>9346</v>
      </c>
      <c r="B725" s="8">
        <v>3489.1491151229302</v>
      </c>
      <c r="C725" s="12">
        <v>8614.3023266416494</v>
      </c>
      <c r="D725" s="8">
        <v>-1.3038587020985799</v>
      </c>
      <c r="E725" s="12">
        <v>1.1062748582666E-4</v>
      </c>
      <c r="F725" s="8" t="s">
        <v>9347</v>
      </c>
      <c r="G725" s="12" t="s">
        <v>286</v>
      </c>
      <c r="H725" s="12">
        <v>1</v>
      </c>
      <c r="I725" s="13" t="str">
        <f>HYPERLINK("http://www.ncbi.nlm.nih.gov/gene/4707", "4707")</f>
        <v>4707</v>
      </c>
      <c r="J725" s="13" t="str">
        <f>HYPERLINK("http://www.ncbi.nlm.nih.gov/nuccore/NM_004545", "NM_004545")</f>
        <v>NM_004545</v>
      </c>
      <c r="K725" s="12" t="s">
        <v>9348</v>
      </c>
      <c r="L725" s="13" t="str">
        <f>HYPERLINK("http://asia.ensembl.org/Homo_sapiens/Gene/Summary?g=ENSG00000183648", "ENSG00000183648")</f>
        <v>ENSG00000183648</v>
      </c>
      <c r="M725" s="12" t="s">
        <v>19130</v>
      </c>
      <c r="N725" s="12" t="s">
        <v>19131</v>
      </c>
    </row>
    <row r="726" spans="1:14">
      <c r="A726" s="12" t="s">
        <v>603</v>
      </c>
      <c r="B726" s="8">
        <v>25157.080095396399</v>
      </c>
      <c r="C726" s="12">
        <v>62101.413201289899</v>
      </c>
      <c r="D726" s="8">
        <v>-1.3036616165122199</v>
      </c>
      <c r="E726" s="12">
        <v>2.53410908719158E-3</v>
      </c>
      <c r="F726" s="8" t="s">
        <v>604</v>
      </c>
      <c r="G726" s="12" t="s">
        <v>605</v>
      </c>
      <c r="H726" s="12">
        <v>4</v>
      </c>
      <c r="I726" s="12" t="s">
        <v>606</v>
      </c>
      <c r="J726" s="12" t="s">
        <v>16391</v>
      </c>
      <c r="K726" s="12" t="s">
        <v>16392</v>
      </c>
      <c r="L726" s="13" t="str">
        <f>HYPERLINK("http://asia.ensembl.org/Homo_sapiens/Gene/Summary?g=ENSG00000213977", "ENSG00000213977")</f>
        <v>ENSG00000213977</v>
      </c>
      <c r="M726" s="12" t="s">
        <v>16393</v>
      </c>
      <c r="N726" s="12" t="s">
        <v>16394</v>
      </c>
    </row>
    <row r="727" spans="1:14">
      <c r="A727" s="12" t="s">
        <v>10861</v>
      </c>
      <c r="B727" s="8">
        <v>4022.3577733952102</v>
      </c>
      <c r="C727" s="12">
        <v>9922.4610869482294</v>
      </c>
      <c r="D727" s="8">
        <v>-1.3026565898228299</v>
      </c>
      <c r="E727" s="12">
        <v>3.5199431099872699E-3</v>
      </c>
      <c r="F727" s="8" t="s">
        <v>8522</v>
      </c>
      <c r="G727" s="12" t="s">
        <v>8523</v>
      </c>
      <c r="H727" s="12">
        <v>1</v>
      </c>
      <c r="I727" s="13" t="str">
        <f>HYPERLINK("http://www.ncbi.nlm.nih.gov/gene/51316", "51316")</f>
        <v>51316</v>
      </c>
      <c r="J727" s="12" t="s">
        <v>19884</v>
      </c>
      <c r="K727" s="12" t="s">
        <v>19885</v>
      </c>
      <c r="L727" s="13" t="str">
        <f>HYPERLINK("http://asia.ensembl.org/Homo_sapiens/Gene/Summary?g=ENSG00000145287", "ENSG00000145287")</f>
        <v>ENSG00000145287</v>
      </c>
      <c r="M727" s="12" t="s">
        <v>18868</v>
      </c>
      <c r="N727" s="12" t="s">
        <v>18869</v>
      </c>
    </row>
    <row r="728" spans="1:14">
      <c r="A728" s="12" t="s">
        <v>4394</v>
      </c>
      <c r="B728" s="8">
        <v>93.370468207022199</v>
      </c>
      <c r="C728" s="12">
        <v>230.319921437452</v>
      </c>
      <c r="D728" s="8">
        <v>-1.30260097928362</v>
      </c>
      <c r="E728" s="12">
        <v>2.1958102059729701E-2</v>
      </c>
      <c r="F728" s="8" t="s">
        <v>4395</v>
      </c>
      <c r="G728" s="12" t="s">
        <v>4396</v>
      </c>
      <c r="H728" s="12">
        <v>1</v>
      </c>
      <c r="I728" s="13" t="str">
        <f>HYPERLINK("http://www.ncbi.nlm.nih.gov/gene/200407", "200407")</f>
        <v>200407</v>
      </c>
      <c r="J728" s="13" t="str">
        <f>HYPERLINK("http://www.ncbi.nlm.nih.gov/nuccore/NM_153836", "NM_153836")</f>
        <v>NM_153836</v>
      </c>
      <c r="K728" s="12" t="s">
        <v>4397</v>
      </c>
      <c r="L728" s="13" t="str">
        <f>HYPERLINK("http://asia.ensembl.org/Homo_sapiens/Gene/Summary?g=ENSG00000175874", "ENSG00000175874")</f>
        <v>ENSG00000175874</v>
      </c>
      <c r="M728" s="12" t="s">
        <v>17680</v>
      </c>
      <c r="N728" s="12" t="s">
        <v>4398</v>
      </c>
    </row>
    <row r="729" spans="1:14">
      <c r="A729" s="12" t="s">
        <v>7941</v>
      </c>
      <c r="B729" s="8">
        <v>233.57542161079999</v>
      </c>
      <c r="C729" s="12">
        <v>576.12249077495005</v>
      </c>
      <c r="D729" s="8">
        <v>-1.302487107056</v>
      </c>
      <c r="E729" s="12">
        <v>3.4841178565833502E-4</v>
      </c>
      <c r="F729" s="8" t="s">
        <v>7942</v>
      </c>
      <c r="G729" s="12" t="s">
        <v>7943</v>
      </c>
      <c r="H729" s="12">
        <v>1</v>
      </c>
      <c r="I729" s="13" t="str">
        <f>HYPERLINK("http://www.ncbi.nlm.nih.gov/gene/57211", "57211")</f>
        <v>57211</v>
      </c>
      <c r="J729" s="12" t="s">
        <v>18675</v>
      </c>
      <c r="K729" s="12" t="s">
        <v>18676</v>
      </c>
      <c r="L729" s="13" t="str">
        <f>HYPERLINK("http://asia.ensembl.org/Homo_sapiens/Gene/Summary?g=ENSG00000112414", "ENSG00000112414")</f>
        <v>ENSG00000112414</v>
      </c>
      <c r="M729" s="12" t="s">
        <v>18677</v>
      </c>
      <c r="N729" s="12" t="s">
        <v>18678</v>
      </c>
    </row>
    <row r="730" spans="1:14">
      <c r="A730" s="12" t="s">
        <v>1198</v>
      </c>
      <c r="B730" s="8">
        <v>160.25717592883399</v>
      </c>
      <c r="C730" s="12">
        <v>395.23050010215098</v>
      </c>
      <c r="D730" s="8">
        <v>-1.3023053259094</v>
      </c>
      <c r="E730" s="12">
        <v>6.7000914103423704E-3</v>
      </c>
      <c r="F730" s="8" t="s">
        <v>1199</v>
      </c>
      <c r="G730" s="12" t="s">
        <v>1200</v>
      </c>
      <c r="H730" s="12">
        <v>1</v>
      </c>
      <c r="I730" s="13" t="str">
        <f>HYPERLINK("http://www.ncbi.nlm.nih.gov/gene/8288", "8288")</f>
        <v>8288</v>
      </c>
      <c r="J730" s="13" t="str">
        <f>HYPERLINK("http://www.ncbi.nlm.nih.gov/nuccore/NM_000502", "NM_000502")</f>
        <v>NM_000502</v>
      </c>
      <c r="K730" s="12" t="s">
        <v>1201</v>
      </c>
      <c r="L730" s="13" t="str">
        <f>HYPERLINK("http://asia.ensembl.org/Homo_sapiens/Gene/Summary?g=ENSG00000121053", "ENSG00000121053")</f>
        <v>ENSG00000121053</v>
      </c>
      <c r="M730" s="12" t="s">
        <v>1202</v>
      </c>
      <c r="N730" s="12" t="s">
        <v>1203</v>
      </c>
    </row>
    <row r="731" spans="1:14">
      <c r="A731" s="12" t="s">
        <v>567</v>
      </c>
      <c r="B731" s="8">
        <v>102.819847083383</v>
      </c>
      <c r="C731" s="12">
        <v>253.370891549031</v>
      </c>
      <c r="D731" s="8">
        <v>-1.30113201875767</v>
      </c>
      <c r="E731" s="12">
        <v>7.4007071357041904E-3</v>
      </c>
      <c r="F731" s="8" t="s">
        <v>568</v>
      </c>
      <c r="G731" s="12" t="s">
        <v>569</v>
      </c>
      <c r="H731" s="12">
        <v>1</v>
      </c>
      <c r="I731" s="13" t="str">
        <f>HYPERLINK("http://www.ncbi.nlm.nih.gov/gene/7104", "7104")</f>
        <v>7104</v>
      </c>
      <c r="J731" s="13" t="str">
        <f>HYPERLINK("http://www.ncbi.nlm.nih.gov/nuccore/NM_004617", "NM_004617")</f>
        <v>NM_004617</v>
      </c>
      <c r="K731" s="12" t="s">
        <v>570</v>
      </c>
      <c r="L731" s="13" t="str">
        <f>HYPERLINK("http://asia.ensembl.org/Homo_sapiens/Gene/Summary?g=ENSG00000169903", "ENSG00000169903")</f>
        <v>ENSG00000169903</v>
      </c>
      <c r="M731" s="12" t="s">
        <v>16376</v>
      </c>
      <c r="N731" s="12" t="s">
        <v>16377</v>
      </c>
    </row>
    <row r="732" spans="1:14">
      <c r="A732" s="12" t="s">
        <v>10487</v>
      </c>
      <c r="B732" s="8">
        <v>634.01781727614502</v>
      </c>
      <c r="C732" s="12">
        <v>1561.9103351962699</v>
      </c>
      <c r="D732" s="8">
        <v>-1.3007163459547699</v>
      </c>
      <c r="E732" s="12">
        <v>7.7721111867926802E-3</v>
      </c>
      <c r="F732" s="8" t="s">
        <v>819</v>
      </c>
      <c r="G732" s="12" t="s">
        <v>820</v>
      </c>
      <c r="H732" s="12">
        <v>1</v>
      </c>
      <c r="I732" s="13" t="str">
        <f>HYPERLINK("http://www.ncbi.nlm.nih.gov/gene/146760", "146760")</f>
        <v>146760</v>
      </c>
      <c r="J732" s="13" t="str">
        <f>HYPERLINK("http://www.ncbi.nlm.nih.gov/nuccore/NM_178568", "NM_178568")</f>
        <v>NM_178568</v>
      </c>
      <c r="K732" s="12" t="s">
        <v>821</v>
      </c>
      <c r="L732" s="13" t="str">
        <f>HYPERLINK("http://asia.ensembl.org/Homo_sapiens/Gene/Summary?g=ENSG00000185924", "ENSG00000185924")</f>
        <v>ENSG00000185924</v>
      </c>
      <c r="M732" s="12" t="s">
        <v>822</v>
      </c>
      <c r="N732" s="12" t="s">
        <v>823</v>
      </c>
    </row>
    <row r="733" spans="1:14">
      <c r="A733" s="12" t="s">
        <v>3762</v>
      </c>
      <c r="B733" s="8">
        <v>78525.1060742064</v>
      </c>
      <c r="C733" s="12">
        <v>193412.80897570401</v>
      </c>
      <c r="D733" s="8">
        <v>-1.3004574502128099</v>
      </c>
      <c r="E733" s="12">
        <v>1.0312471766155001E-2</v>
      </c>
      <c r="F733" s="8" t="s">
        <v>3763</v>
      </c>
      <c r="G733" s="12" t="s">
        <v>3764</v>
      </c>
      <c r="H733" s="12">
        <v>4</v>
      </c>
      <c r="I733" s="12" t="s">
        <v>3765</v>
      </c>
      <c r="J733" s="12" t="s">
        <v>3766</v>
      </c>
      <c r="K733" s="12" t="s">
        <v>3767</v>
      </c>
      <c r="L733" s="12" t="s">
        <v>3768</v>
      </c>
      <c r="M733" s="12" t="s">
        <v>17415</v>
      </c>
      <c r="N733" s="12" t="s">
        <v>17416</v>
      </c>
    </row>
    <row r="734" spans="1:14">
      <c r="A734" s="12" t="s">
        <v>2937</v>
      </c>
      <c r="B734" s="8">
        <v>22358.0399225279</v>
      </c>
      <c r="C734" s="12">
        <v>55065.981336210403</v>
      </c>
      <c r="D734" s="8">
        <v>-1.30036760979768</v>
      </c>
      <c r="E734" s="12">
        <v>1.57775326680684E-3</v>
      </c>
      <c r="F734" s="8" t="s">
        <v>2938</v>
      </c>
      <c r="G734" s="12" t="s">
        <v>104</v>
      </c>
      <c r="H734" s="12">
        <v>1</v>
      </c>
      <c r="I734" s="13" t="str">
        <f>HYPERLINK("http://www.ncbi.nlm.nih.gov/gene/5439", "5439")</f>
        <v>5439</v>
      </c>
      <c r="J734" s="13" t="str">
        <f>HYPERLINK("http://www.ncbi.nlm.nih.gov/nuccore/NM_006234", "NM_006234")</f>
        <v>NM_006234</v>
      </c>
      <c r="K734" s="12" t="s">
        <v>2939</v>
      </c>
      <c r="L734" s="13" t="str">
        <f>HYPERLINK("http://asia.ensembl.org/Homo_sapiens/Gene/Summary?g=ENSG00000005075", "ENSG00000005075")</f>
        <v>ENSG00000005075</v>
      </c>
      <c r="M734" s="12" t="s">
        <v>17142</v>
      </c>
      <c r="N734" s="12" t="s">
        <v>17143</v>
      </c>
    </row>
    <row r="735" spans="1:14">
      <c r="A735" s="12" t="s">
        <v>9663</v>
      </c>
      <c r="B735" s="8">
        <v>119230.810133463</v>
      </c>
      <c r="C735" s="12">
        <v>293624.288249309</v>
      </c>
      <c r="D735" s="8">
        <v>-1.3002142239530901</v>
      </c>
      <c r="E735" s="12">
        <v>9.6615476048883704E-4</v>
      </c>
      <c r="F735" s="8" t="s">
        <v>9664</v>
      </c>
      <c r="G735" s="12" t="s">
        <v>9665</v>
      </c>
      <c r="H735" s="12">
        <v>1</v>
      </c>
      <c r="I735" s="13" t="str">
        <f>HYPERLINK("http://www.ncbi.nlm.nih.gov/gene/5204", "5204")</f>
        <v>5204</v>
      </c>
      <c r="J735" s="12" t="s">
        <v>19247</v>
      </c>
      <c r="K735" s="12" t="s">
        <v>19248</v>
      </c>
      <c r="L735" s="13" t="str">
        <f>HYPERLINK("http://asia.ensembl.org/Homo_sapiens/Gene/Summary?g=ENSG00000123349", "ENSG00000123349")</f>
        <v>ENSG00000123349</v>
      </c>
      <c r="M735" s="12" t="s">
        <v>19249</v>
      </c>
      <c r="N735" s="12" t="s">
        <v>19250</v>
      </c>
    </row>
    <row r="736" spans="1:14">
      <c r="A736" s="12" t="s">
        <v>9911</v>
      </c>
      <c r="B736" s="8">
        <v>158510.39085439499</v>
      </c>
      <c r="C736" s="12">
        <v>390008.91306993499</v>
      </c>
      <c r="D736" s="8">
        <v>-1.29892967832773</v>
      </c>
      <c r="E736" s="12">
        <v>7.2347037980671804E-3</v>
      </c>
      <c r="F736" s="8" t="s">
        <v>9912</v>
      </c>
      <c r="G736" s="12" t="s">
        <v>19416</v>
      </c>
      <c r="H736" s="12">
        <v>1</v>
      </c>
      <c r="I736" s="13" t="str">
        <f>HYPERLINK("http://www.ncbi.nlm.nih.gov/gene/2512", "2512")</f>
        <v>2512</v>
      </c>
      <c r="J736" s="13" t="str">
        <f>HYPERLINK("http://www.ncbi.nlm.nih.gov/nuccore/NM_000146", "NM_000146")</f>
        <v>NM_000146</v>
      </c>
      <c r="K736" s="12" t="s">
        <v>9913</v>
      </c>
      <c r="L736" s="13" t="str">
        <f>HYPERLINK("http://asia.ensembl.org/Homo_sapiens/Gene/Summary?g=ENSG00000087086", "ENSG00000087086")</f>
        <v>ENSG00000087086</v>
      </c>
      <c r="M736" s="12" t="s">
        <v>19417</v>
      </c>
      <c r="N736" s="12" t="s">
        <v>19418</v>
      </c>
    </row>
    <row r="737" spans="1:14">
      <c r="A737" s="12" t="s">
        <v>1575</v>
      </c>
      <c r="B737" s="8">
        <v>15976.642899308999</v>
      </c>
      <c r="C737" s="12">
        <v>39307.009321592799</v>
      </c>
      <c r="D737" s="8">
        <v>-1.29882230727782</v>
      </c>
      <c r="E737" s="12">
        <v>4.6220313179169796E-3</v>
      </c>
      <c r="F737" s="8" t="s">
        <v>1576</v>
      </c>
      <c r="G737" s="12" t="s">
        <v>1577</v>
      </c>
      <c r="H737" s="12">
        <v>1</v>
      </c>
      <c r="I737" s="13" t="str">
        <f>HYPERLINK("http://www.ncbi.nlm.nih.gov/gene/9324", "9324")</f>
        <v>9324</v>
      </c>
      <c r="J737" s="12" t="s">
        <v>16691</v>
      </c>
      <c r="K737" s="12" t="s">
        <v>16692</v>
      </c>
      <c r="L737" s="13" t="str">
        <f>HYPERLINK("http://asia.ensembl.org/Homo_sapiens/Gene/Summary?g=ENSG00000118418", "ENSG00000118418")</f>
        <v>ENSG00000118418</v>
      </c>
      <c r="M737" s="12" t="s">
        <v>16693</v>
      </c>
      <c r="N737" s="12" t="s">
        <v>16694</v>
      </c>
    </row>
    <row r="738" spans="1:14">
      <c r="A738" s="12" t="s">
        <v>111</v>
      </c>
      <c r="B738" s="8">
        <v>97.910177709944804</v>
      </c>
      <c r="C738" s="12">
        <v>240.81686265595499</v>
      </c>
      <c r="D738" s="8">
        <v>-1.298405676986</v>
      </c>
      <c r="E738" s="12">
        <v>4.2707956148698998E-3</v>
      </c>
      <c r="F738" s="8" t="s">
        <v>112</v>
      </c>
      <c r="G738" s="12" t="s">
        <v>113</v>
      </c>
      <c r="H738" s="12">
        <v>1</v>
      </c>
      <c r="I738" s="13" t="str">
        <f>HYPERLINK("http://www.ncbi.nlm.nih.gov/gene/6383", "6383")</f>
        <v>6383</v>
      </c>
      <c r="J738" s="13" t="str">
        <f>HYPERLINK("http://www.ncbi.nlm.nih.gov/nuccore/NM_002998", "NM_002998")</f>
        <v>NM_002998</v>
      </c>
      <c r="K738" s="12" t="s">
        <v>114</v>
      </c>
      <c r="L738" s="13" t="str">
        <f>HYPERLINK("http://asia.ensembl.org/Homo_sapiens/Gene/Summary?g=ENSG00000169439", "ENSG00000169439")</f>
        <v>ENSG00000169439</v>
      </c>
      <c r="M738" s="12" t="s">
        <v>16254</v>
      </c>
      <c r="N738" s="12" t="s">
        <v>16255</v>
      </c>
    </row>
    <row r="739" spans="1:14">
      <c r="A739" s="12" t="s">
        <v>6220</v>
      </c>
      <c r="B739" s="8">
        <v>258.17989376024701</v>
      </c>
      <c r="C739" s="12">
        <v>634.97875608368804</v>
      </c>
      <c r="D739" s="8">
        <v>-1.2983316732763299</v>
      </c>
      <c r="E739" s="12">
        <v>8.0126344554869895E-3</v>
      </c>
      <c r="F739" s="8" t="s">
        <v>6221</v>
      </c>
      <c r="G739" s="12" t="s">
        <v>6222</v>
      </c>
      <c r="H739" s="12">
        <v>1</v>
      </c>
      <c r="I739" s="13" t="str">
        <f>HYPERLINK("http://www.ncbi.nlm.nih.gov/gene/10608", "10608")</f>
        <v>10608</v>
      </c>
      <c r="J739" s="13" t="str">
        <f>HYPERLINK("http://www.ncbi.nlm.nih.gov/nuccore/NM_006454", "NM_006454")</f>
        <v>NM_006454</v>
      </c>
      <c r="K739" s="12" t="s">
        <v>6223</v>
      </c>
      <c r="L739" s="13" t="str">
        <f>HYPERLINK("http://asia.ensembl.org/Homo_sapiens/Gene/Summary?g=ENSG00000123933", "ENSG00000123933")</f>
        <v>ENSG00000123933</v>
      </c>
      <c r="M739" s="12" t="s">
        <v>18088</v>
      </c>
      <c r="N739" s="12" t="s">
        <v>18089</v>
      </c>
    </row>
    <row r="740" spans="1:14">
      <c r="A740" s="12" t="s">
        <v>9290</v>
      </c>
      <c r="B740" s="8">
        <v>5594.6020645113304</v>
      </c>
      <c r="C740" s="12">
        <v>13752.7131737288</v>
      </c>
      <c r="D740" s="8">
        <v>-1.29760884235811</v>
      </c>
      <c r="E740" s="12">
        <v>1.52683483039498E-2</v>
      </c>
      <c r="F740" s="8" t="s">
        <v>9291</v>
      </c>
      <c r="G740" s="12" t="s">
        <v>9292</v>
      </c>
      <c r="H740" s="12">
        <v>1</v>
      </c>
      <c r="I740" s="13" t="str">
        <f>HYPERLINK("http://www.ncbi.nlm.nih.gov/gene/344191", "344191")</f>
        <v>344191</v>
      </c>
      <c r="J740" s="13" t="str">
        <f>HYPERLINK("http://www.ncbi.nlm.nih.gov/nuccore/NM_001080458", "NM_001080458")</f>
        <v>NM_001080458</v>
      </c>
      <c r="K740" s="12" t="s">
        <v>9293</v>
      </c>
      <c r="L740" s="13" t="str">
        <f>HYPERLINK("http://asia.ensembl.org/Homo_sapiens/Gene/Summary?g=ENSG00000174279", "ENSG00000174279")</f>
        <v>ENSG00000174279</v>
      </c>
      <c r="M740" s="12" t="s">
        <v>9294</v>
      </c>
      <c r="N740" s="12" t="s">
        <v>9295</v>
      </c>
    </row>
    <row r="741" spans="1:14">
      <c r="A741" s="12" t="s">
        <v>55</v>
      </c>
      <c r="B741" s="8">
        <v>84106.783405050897</v>
      </c>
      <c r="C741" s="12">
        <v>206605.23356069101</v>
      </c>
      <c r="D741" s="8">
        <v>-1.2965827329272199</v>
      </c>
      <c r="E741" s="12">
        <v>4.6069384747069401E-3</v>
      </c>
      <c r="F741" s="8" t="s">
        <v>56</v>
      </c>
      <c r="G741" s="12" t="s">
        <v>57</v>
      </c>
      <c r="H741" s="12">
        <v>1</v>
      </c>
      <c r="I741" s="13" t="str">
        <f>HYPERLINK("http://www.ncbi.nlm.nih.gov/gene/1476", "1476")</f>
        <v>1476</v>
      </c>
      <c r="J741" s="13" t="str">
        <f>HYPERLINK("http://www.ncbi.nlm.nih.gov/nuccore/NM_000100", "NM_000100")</f>
        <v>NM_000100</v>
      </c>
      <c r="K741" s="12" t="s">
        <v>58</v>
      </c>
      <c r="L741" s="13" t="str">
        <f>HYPERLINK("http://asia.ensembl.org/Homo_sapiens/Gene/Summary?g=ENSG00000160213", "ENSG00000160213")</f>
        <v>ENSG00000160213</v>
      </c>
      <c r="M741" s="12" t="s">
        <v>16237</v>
      </c>
      <c r="N741" s="12" t="s">
        <v>59</v>
      </c>
    </row>
    <row r="742" spans="1:14">
      <c r="A742" s="12" t="s">
        <v>10649</v>
      </c>
      <c r="B742" s="8">
        <v>2317.5368208027999</v>
      </c>
      <c r="C742" s="12">
        <v>5692.9066658286001</v>
      </c>
      <c r="D742" s="8">
        <v>-1.29657318676626</v>
      </c>
      <c r="E742" s="12">
        <v>2.0035105072121399E-3</v>
      </c>
      <c r="F742" s="8" t="s">
        <v>8629</v>
      </c>
      <c r="G742" s="12" t="s">
        <v>8630</v>
      </c>
      <c r="H742" s="12">
        <v>1</v>
      </c>
      <c r="I742" s="13" t="str">
        <f>HYPERLINK("http://www.ncbi.nlm.nih.gov/gene/285368", "285368")</f>
        <v>285368</v>
      </c>
      <c r="J742" s="13" t="str">
        <f>HYPERLINK("http://www.ncbi.nlm.nih.gov/nuccore/NM_207351", "NM_207351")</f>
        <v>NM_207351</v>
      </c>
      <c r="K742" s="12" t="s">
        <v>8631</v>
      </c>
      <c r="L742" s="13" t="str">
        <f>HYPERLINK("http://asia.ensembl.org/Homo_sapiens/Gene/Summary?g=ENSG00000163704", "ENSG00000163704")</f>
        <v>ENSG00000163704</v>
      </c>
      <c r="M742" s="12" t="s">
        <v>19818</v>
      </c>
      <c r="N742" s="12" t="s">
        <v>19819</v>
      </c>
    </row>
    <row r="743" spans="1:14">
      <c r="A743" s="12" t="s">
        <v>6525</v>
      </c>
      <c r="B743" s="8">
        <v>8391.6391025036592</v>
      </c>
      <c r="C743" s="12">
        <v>20609.4112426069</v>
      </c>
      <c r="D743" s="8">
        <v>-1.2962787527394699</v>
      </c>
      <c r="E743" s="12">
        <v>2.6792477287596698E-3</v>
      </c>
      <c r="F743" s="8" t="s">
        <v>6526</v>
      </c>
      <c r="G743" s="12" t="s">
        <v>351</v>
      </c>
      <c r="H743" s="12">
        <v>1</v>
      </c>
      <c r="I743" s="13" t="str">
        <f>HYPERLINK("http://www.ncbi.nlm.nih.gov/gene/100272147", "100272147")</f>
        <v>100272147</v>
      </c>
      <c r="J743" s="13" t="str">
        <f>HYPERLINK("http://www.ncbi.nlm.nih.gov/nuccore/NM_001018024", "NM_001018024")</f>
        <v>NM_001018024</v>
      </c>
      <c r="K743" s="12" t="s">
        <v>6527</v>
      </c>
      <c r="L743" s="13" t="str">
        <f>HYPERLINK("http://asia.ensembl.org/Homo_sapiens/Gene/Summary?g=ENSG00000182712", "ENSG00000182712")</f>
        <v>ENSG00000182712</v>
      </c>
      <c r="M743" s="12" t="s">
        <v>18198</v>
      </c>
      <c r="N743" s="12" t="s">
        <v>18199</v>
      </c>
    </row>
    <row r="744" spans="1:14">
      <c r="A744" s="12" t="s">
        <v>3465</v>
      </c>
      <c r="B744" s="8">
        <v>145.18068276227601</v>
      </c>
      <c r="C744" s="12">
        <v>356.46382686370998</v>
      </c>
      <c r="D744" s="8">
        <v>-1.29590617658522</v>
      </c>
      <c r="E744" s="12">
        <v>5.2629156653056901E-4</v>
      </c>
      <c r="F744" s="8" t="s">
        <v>3466</v>
      </c>
      <c r="G744" s="12" t="s">
        <v>3467</v>
      </c>
      <c r="H744" s="12">
        <v>1</v>
      </c>
      <c r="I744" s="13" t="str">
        <f>HYPERLINK("http://www.ncbi.nlm.nih.gov/gene/100507633", "100507633")</f>
        <v>100507633</v>
      </c>
      <c r="J744" s="13" t="str">
        <f>HYPERLINK("http://www.ncbi.nlm.nih.gov/nuccore/NR_108070", "NR_108070")</f>
        <v>NR_108070</v>
      </c>
      <c r="K744" s="12" t="s">
        <v>199</v>
      </c>
      <c r="L744" s="13" t="str">
        <f>HYPERLINK("http://asia.ensembl.org/Homo_sapiens/Gene/Summary?g=ENSG00000228701", "ENSG00000228701")</f>
        <v>ENSG00000228701</v>
      </c>
      <c r="M744" s="12" t="s">
        <v>17313</v>
      </c>
    </row>
    <row r="745" spans="1:14">
      <c r="A745" s="12" t="s">
        <v>672</v>
      </c>
      <c r="B745" s="8">
        <v>17634.8359375982</v>
      </c>
      <c r="C745" s="12">
        <v>43292.272169908101</v>
      </c>
      <c r="D745" s="8">
        <v>-1.2956813675707901</v>
      </c>
      <c r="E745" s="12">
        <v>1.16930032540028E-2</v>
      </c>
      <c r="F745" s="8" t="s">
        <v>673</v>
      </c>
      <c r="G745" s="12" t="s">
        <v>286</v>
      </c>
      <c r="H745" s="12">
        <v>1</v>
      </c>
      <c r="I745" s="13" t="str">
        <f>HYPERLINK("http://www.ncbi.nlm.nih.gov/gene/4715", "4715")</f>
        <v>4715</v>
      </c>
      <c r="J745" s="13" t="str">
        <f>HYPERLINK("http://www.ncbi.nlm.nih.gov/nuccore/NM_005005", "NM_005005")</f>
        <v>NM_005005</v>
      </c>
      <c r="K745" s="12" t="s">
        <v>674</v>
      </c>
      <c r="L745" s="13" t="str">
        <f>HYPERLINK("http://asia.ensembl.org/Homo_sapiens/Gene/Summary?g=ENSG00000147684", "ENSG00000147684")</f>
        <v>ENSG00000147684</v>
      </c>
      <c r="M745" s="12" t="s">
        <v>16415</v>
      </c>
      <c r="N745" s="12" t="s">
        <v>16416</v>
      </c>
    </row>
    <row r="746" spans="1:14">
      <c r="A746" s="12" t="s">
        <v>11770</v>
      </c>
      <c r="B746" s="8">
        <v>4205.6300028038004</v>
      </c>
      <c r="C746" s="12">
        <v>10323.683615038301</v>
      </c>
      <c r="D746" s="8">
        <v>-1.2955639963385299</v>
      </c>
      <c r="E746" s="12">
        <v>4.3593170243409101E-3</v>
      </c>
      <c r="F746" s="8" t="s">
        <v>11771</v>
      </c>
      <c r="G746" s="12" t="s">
        <v>11772</v>
      </c>
      <c r="H746" s="12">
        <v>1</v>
      </c>
      <c r="I746" s="13" t="str">
        <f>HYPERLINK("http://www.ncbi.nlm.nih.gov/gene/114984", "114984")</f>
        <v>114984</v>
      </c>
      <c r="J746" s="12" t="s">
        <v>20197</v>
      </c>
      <c r="K746" s="12" t="s">
        <v>20198</v>
      </c>
      <c r="L746" s="13" t="str">
        <f>HYPERLINK("http://asia.ensembl.org/Homo_sapiens/Gene/Summary?g=ENSG00000162076", "ENSG00000162076")</f>
        <v>ENSG00000162076</v>
      </c>
      <c r="M746" s="12" t="s">
        <v>20199</v>
      </c>
      <c r="N746" s="12" t="s">
        <v>20200</v>
      </c>
    </row>
    <row r="747" spans="1:14">
      <c r="A747" s="12" t="s">
        <v>11146</v>
      </c>
      <c r="B747" s="8">
        <v>53.273661009887398</v>
      </c>
      <c r="C747" s="12">
        <v>130.70539414131301</v>
      </c>
      <c r="D747" s="8">
        <v>-1.29482434899972</v>
      </c>
      <c r="E747" s="12">
        <v>1.7440625976463499E-3</v>
      </c>
      <c r="F747" s="8" t="s">
        <v>5040</v>
      </c>
      <c r="G747" s="12" t="s">
        <v>5041</v>
      </c>
      <c r="H747" s="12">
        <v>1</v>
      </c>
      <c r="I747" s="13" t="str">
        <f>HYPERLINK("http://www.ncbi.nlm.nih.gov/gene/2246", "2246")</f>
        <v>2246</v>
      </c>
      <c r="J747" s="12" t="s">
        <v>19996</v>
      </c>
      <c r="K747" s="12" t="s">
        <v>19997</v>
      </c>
      <c r="L747" s="13" t="str">
        <f>HYPERLINK("http://asia.ensembl.org/Homo_sapiens/Gene/Summary?g=ENSG00000113578", "ENSG00000113578")</f>
        <v>ENSG00000113578</v>
      </c>
      <c r="M747" s="12" t="s">
        <v>19998</v>
      </c>
      <c r="N747" s="12" t="s">
        <v>19999</v>
      </c>
    </row>
    <row r="748" spans="1:14">
      <c r="A748" s="12" t="s">
        <v>4640</v>
      </c>
      <c r="B748" s="8">
        <v>8036.2739640501604</v>
      </c>
      <c r="C748" s="12">
        <v>19706.7633062563</v>
      </c>
      <c r="D748" s="8">
        <v>-1.29409219074536</v>
      </c>
      <c r="E748" s="12">
        <v>2.3494978220247199E-3</v>
      </c>
      <c r="F748" s="8" t="s">
        <v>4641</v>
      </c>
      <c r="G748" s="12" t="s">
        <v>17722</v>
      </c>
      <c r="H748" s="12">
        <v>1</v>
      </c>
      <c r="I748" s="13" t="str">
        <f>HYPERLINK("http://www.ncbi.nlm.nih.gov/gene/27335", "27335")</f>
        <v>27335</v>
      </c>
      <c r="J748" s="13" t="str">
        <f>HYPERLINK("http://www.ncbi.nlm.nih.gov/nuccore/NM_013234", "NM_013234")</f>
        <v>NM_013234</v>
      </c>
      <c r="K748" s="12" t="s">
        <v>4642</v>
      </c>
      <c r="L748" s="13" t="str">
        <f>HYPERLINK("http://asia.ensembl.org/Homo_sapiens/Gene/Summary?g=ENSG00000178982", "ENSG00000178982")</f>
        <v>ENSG00000178982</v>
      </c>
      <c r="M748" s="12" t="s">
        <v>17723</v>
      </c>
      <c r="N748" s="12" t="s">
        <v>17724</v>
      </c>
    </row>
    <row r="749" spans="1:14">
      <c r="A749" s="12" t="s">
        <v>5381</v>
      </c>
      <c r="B749" s="8">
        <v>2162.0632817133901</v>
      </c>
      <c r="C749" s="12">
        <v>5301.7657888225303</v>
      </c>
      <c r="D749" s="8">
        <v>-1.2940641888948501</v>
      </c>
      <c r="E749" s="12">
        <v>5.7826276555918302E-3</v>
      </c>
      <c r="F749" s="8" t="s">
        <v>4352</v>
      </c>
      <c r="G749" s="12" t="s">
        <v>4353</v>
      </c>
      <c r="H749" s="12">
        <v>1</v>
      </c>
      <c r="I749" s="13" t="str">
        <f>HYPERLINK("http://www.ncbi.nlm.nih.gov/gene/573", "573")</f>
        <v>573</v>
      </c>
      <c r="J749" s="12" t="s">
        <v>17868</v>
      </c>
      <c r="K749" s="12" t="s">
        <v>17869</v>
      </c>
      <c r="L749" s="13" t="str">
        <f>HYPERLINK("http://asia.ensembl.org/Homo_sapiens/Gene/Summary?g=ENSG00000107262", "ENSG00000107262")</f>
        <v>ENSG00000107262</v>
      </c>
      <c r="M749" s="12" t="s">
        <v>17870</v>
      </c>
      <c r="N749" s="12" t="s">
        <v>17871</v>
      </c>
    </row>
    <row r="750" spans="1:14">
      <c r="A750" s="12" t="s">
        <v>10906</v>
      </c>
      <c r="B750" s="8">
        <v>8582.9493991029594</v>
      </c>
      <c r="C750" s="12">
        <v>21038.371156350098</v>
      </c>
      <c r="D750" s="8">
        <v>-1.2934776137811299</v>
      </c>
      <c r="E750" s="12">
        <v>6.1070542528359403E-3</v>
      </c>
      <c r="F750" s="8" t="s">
        <v>6335</v>
      </c>
      <c r="G750" s="12" t="s">
        <v>6336</v>
      </c>
      <c r="H750" s="12">
        <v>1</v>
      </c>
      <c r="I750" s="13" t="str">
        <f>HYPERLINK("http://www.ncbi.nlm.nih.gov/gene/100287932", "100287932")</f>
        <v>100287932</v>
      </c>
      <c r="J750" s="12" t="s">
        <v>19898</v>
      </c>
      <c r="K750" s="12" t="s">
        <v>19899</v>
      </c>
      <c r="L750" s="13" t="str">
        <f>HYPERLINK("http://asia.ensembl.org/Homo_sapiens/Gene/Summary?g=ENSG00000265354", "ENSG00000265354")</f>
        <v>ENSG00000265354</v>
      </c>
      <c r="M750" s="12" t="s">
        <v>6337</v>
      </c>
      <c r="N750" s="12" t="s">
        <v>6338</v>
      </c>
    </row>
    <row r="751" spans="1:14">
      <c r="A751" s="12" t="s">
        <v>2338</v>
      </c>
      <c r="B751" s="8">
        <v>50.794442765079097</v>
      </c>
      <c r="C751" s="12">
        <v>124.499253566844</v>
      </c>
      <c r="D751" s="8">
        <v>-1.2933945219301</v>
      </c>
      <c r="E751" s="12">
        <v>1.45232129119547E-2</v>
      </c>
      <c r="F751" s="8" t="s">
        <v>2339</v>
      </c>
      <c r="G751" s="12" t="s">
        <v>2340</v>
      </c>
      <c r="H751" s="12">
        <v>1</v>
      </c>
      <c r="I751" s="13" t="str">
        <f>HYPERLINK("http://www.ncbi.nlm.nih.gov/gene/93166", "93166")</f>
        <v>93166</v>
      </c>
      <c r="J751" s="13" t="str">
        <f>HYPERLINK("http://www.ncbi.nlm.nih.gov/nuccore/NM_001136239", "NM_001136239")</f>
        <v>NM_001136239</v>
      </c>
      <c r="K751" s="12" t="s">
        <v>2341</v>
      </c>
      <c r="L751" s="13" t="str">
        <f>HYPERLINK("http://asia.ensembl.org/Homo_sapiens/Gene/Summary?g=ENSG00000061455", "ENSG00000061455")</f>
        <v>ENSG00000061455</v>
      </c>
      <c r="M751" s="12" t="s">
        <v>16976</v>
      </c>
      <c r="N751" s="12" t="s">
        <v>16977</v>
      </c>
    </row>
    <row r="752" spans="1:14">
      <c r="A752" s="12" t="s">
        <v>10015</v>
      </c>
      <c r="B752" s="8">
        <v>89.295783724191296</v>
      </c>
      <c r="C752" s="12">
        <v>218.74873009696299</v>
      </c>
      <c r="D752" s="8">
        <v>-1.2926106792975101</v>
      </c>
      <c r="E752" s="12">
        <v>1.45944832364463E-2</v>
      </c>
      <c r="F752" s="8" t="s">
        <v>10016</v>
      </c>
      <c r="G752" s="12" t="s">
        <v>19504</v>
      </c>
      <c r="H752" s="12">
        <v>1</v>
      </c>
      <c r="I752" s="13" t="str">
        <f>HYPERLINK("http://www.ncbi.nlm.nih.gov/gene/58530", "58530")</f>
        <v>58530</v>
      </c>
      <c r="J752" s="13" t="str">
        <f>HYPERLINK("http://www.ncbi.nlm.nih.gov/nuccore/NM_021246", "NM_021246")</f>
        <v>NM_021246</v>
      </c>
      <c r="K752" s="12" t="s">
        <v>10017</v>
      </c>
      <c r="L752" s="13" t="str">
        <f>HYPERLINK("http://asia.ensembl.org/Homo_sapiens/Gene/Summary?g=ENSG00000235302", "ENSG00000235302")</f>
        <v>ENSG00000235302</v>
      </c>
      <c r="M752" s="12" t="s">
        <v>19505</v>
      </c>
      <c r="N752" s="12" t="s">
        <v>19506</v>
      </c>
    </row>
    <row r="753" spans="1:14">
      <c r="A753" s="12" t="s">
        <v>11251</v>
      </c>
      <c r="B753" s="8">
        <v>1683.2836886569901</v>
      </c>
      <c r="C753" s="12">
        <v>4122.1780908146002</v>
      </c>
      <c r="D753" s="8">
        <v>-1.2921284963847199</v>
      </c>
      <c r="E753" s="12">
        <v>5.5128463785878703E-3</v>
      </c>
      <c r="F753" s="8" t="s">
        <v>721</v>
      </c>
      <c r="G753" s="12" t="s">
        <v>93</v>
      </c>
      <c r="H753" s="12">
        <v>1</v>
      </c>
      <c r="I753" s="13" t="str">
        <f>HYPERLINK("http://www.ncbi.nlm.nih.gov/gene/84277", "84277")</f>
        <v>84277</v>
      </c>
      <c r="J753" s="13" t="str">
        <f>HYPERLINK("http://www.ncbi.nlm.nih.gov/nuccore/NM_032317", "NM_032317")</f>
        <v>NM_032317</v>
      </c>
      <c r="K753" s="12" t="s">
        <v>722</v>
      </c>
      <c r="L753" s="13" t="str">
        <f>HYPERLINK("http://asia.ensembl.org/Homo_sapiens/Gene/Summary?g=ENSG00000176410", "ENSG00000176410")</f>
        <v>ENSG00000176410</v>
      </c>
      <c r="M753" s="12" t="s">
        <v>723</v>
      </c>
      <c r="N753" s="12" t="s">
        <v>724</v>
      </c>
    </row>
    <row r="754" spans="1:14">
      <c r="A754" s="12" t="s">
        <v>4193</v>
      </c>
      <c r="B754" s="8">
        <v>11439.412098541099</v>
      </c>
      <c r="C754" s="12">
        <v>28004.635046103602</v>
      </c>
      <c r="D754" s="8">
        <v>-1.2916527172043399</v>
      </c>
      <c r="E754" s="12">
        <v>7.771738429283E-3</v>
      </c>
      <c r="F754" s="8" t="s">
        <v>4194</v>
      </c>
      <c r="G754" s="12" t="s">
        <v>4195</v>
      </c>
      <c r="H754" s="12">
        <v>1</v>
      </c>
      <c r="I754" s="13" t="str">
        <f>HYPERLINK("http://www.ncbi.nlm.nih.gov/gene/1340", "1340")</f>
        <v>1340</v>
      </c>
      <c r="J754" s="13" t="str">
        <f>HYPERLINK("http://www.ncbi.nlm.nih.gov/nuccore/NM_001863", "NM_001863")</f>
        <v>NM_001863</v>
      </c>
      <c r="K754" s="12" t="s">
        <v>4196</v>
      </c>
      <c r="L754" s="13" t="str">
        <f>HYPERLINK("http://asia.ensembl.org/Homo_sapiens/Gene/Summary?g=ENSG00000126267", "ENSG00000126267")</f>
        <v>ENSG00000126267</v>
      </c>
      <c r="M754" s="12" t="s">
        <v>17610</v>
      </c>
      <c r="N754" s="12" t="s">
        <v>17611</v>
      </c>
    </row>
    <row r="755" spans="1:14">
      <c r="A755" s="12" t="s">
        <v>193</v>
      </c>
      <c r="B755" s="8">
        <v>73.744187301600206</v>
      </c>
      <c r="C755" s="12">
        <v>180.48735204314301</v>
      </c>
      <c r="D755" s="8">
        <v>-1.2912964991754201</v>
      </c>
      <c r="E755" s="12">
        <v>2.8671621987013299E-2</v>
      </c>
      <c r="F755" s="8" t="s">
        <v>194</v>
      </c>
      <c r="G755" s="12" t="s">
        <v>195</v>
      </c>
      <c r="H755" s="12">
        <v>1</v>
      </c>
      <c r="I755" s="13" t="str">
        <f>HYPERLINK("http://www.ncbi.nlm.nih.gov/gene/10309", "10309")</f>
        <v>10309</v>
      </c>
      <c r="J755" s="13" t="str">
        <f>HYPERLINK("http://www.ncbi.nlm.nih.gov/nuccore/NM_021147", "NM_021147")</f>
        <v>NM_021147</v>
      </c>
      <c r="K755" s="12" t="s">
        <v>196</v>
      </c>
      <c r="L755" s="13" t="str">
        <f>HYPERLINK("http://asia.ensembl.org/Homo_sapiens/Gene/Summary?g=ENSG00000152669", "ENSG00000152669")</f>
        <v>ENSG00000152669</v>
      </c>
      <c r="M755" s="12" t="s">
        <v>16278</v>
      </c>
      <c r="N755" s="12" t="s">
        <v>16279</v>
      </c>
    </row>
    <row r="756" spans="1:14">
      <c r="A756" s="12" t="s">
        <v>9952</v>
      </c>
      <c r="B756" s="8">
        <v>185.62709988330201</v>
      </c>
      <c r="C756" s="12">
        <v>454.28164104715103</v>
      </c>
      <c r="D756" s="8">
        <v>-1.2911796564067299</v>
      </c>
      <c r="E756" s="12">
        <v>1.14052824224162E-4</v>
      </c>
      <c r="F756" s="8" t="s">
        <v>2802</v>
      </c>
      <c r="G756" s="12" t="s">
        <v>2803</v>
      </c>
      <c r="H756" s="12">
        <v>1</v>
      </c>
      <c r="I756" s="13" t="str">
        <f>HYPERLINK("http://www.ncbi.nlm.nih.gov/gene/127700", "127700")</f>
        <v>127700</v>
      </c>
      <c r="J756" s="12" t="s">
        <v>19471</v>
      </c>
      <c r="K756" s="12" t="s">
        <v>19472</v>
      </c>
      <c r="L756" s="13" t="str">
        <f>HYPERLINK("http://asia.ensembl.org/Homo_sapiens/Gene/Summary?g=ENSG00000116885", "ENSG00000116885")</f>
        <v>ENSG00000116885</v>
      </c>
      <c r="M756" s="12" t="s">
        <v>17118</v>
      </c>
      <c r="N756" s="12" t="s">
        <v>17119</v>
      </c>
    </row>
    <row r="757" spans="1:14">
      <c r="A757" s="12" t="s">
        <v>7192</v>
      </c>
      <c r="B757" s="8">
        <v>50641.690291298502</v>
      </c>
      <c r="C757" s="12">
        <v>123919.947186088</v>
      </c>
      <c r="D757" s="8">
        <v>-1.2910109701853001</v>
      </c>
      <c r="E757" s="12">
        <v>1.6581813565557699E-2</v>
      </c>
      <c r="F757" s="8" t="s">
        <v>7193</v>
      </c>
      <c r="G757" s="12" t="s">
        <v>7194</v>
      </c>
      <c r="H757" s="12">
        <v>1</v>
      </c>
      <c r="I757" s="13" t="str">
        <f>HYPERLINK("http://www.ncbi.nlm.nih.gov/gene/25873", "25873")</f>
        <v>25873</v>
      </c>
      <c r="J757" s="12" t="s">
        <v>18407</v>
      </c>
      <c r="K757" s="12" t="s">
        <v>18408</v>
      </c>
      <c r="L757" s="13" t="str">
        <f>HYPERLINK("http://asia.ensembl.org/Homo_sapiens/Gene/Summary?g=ENSG00000130255", "ENSG00000130255")</f>
        <v>ENSG00000130255</v>
      </c>
      <c r="M757" s="12" t="s">
        <v>18409</v>
      </c>
      <c r="N757" s="12" t="s">
        <v>18410</v>
      </c>
    </row>
    <row r="758" spans="1:14">
      <c r="A758" s="12" t="s">
        <v>7553</v>
      </c>
      <c r="B758" s="8">
        <v>52.225552143740998</v>
      </c>
      <c r="C758" s="12">
        <v>127.65163227604</v>
      </c>
      <c r="D758" s="8">
        <v>-1.2893842404660201</v>
      </c>
      <c r="E758" s="12">
        <v>2.1428068530800402E-2</v>
      </c>
      <c r="F758" s="8" t="s">
        <v>7554</v>
      </c>
      <c r="G758" s="12" t="s">
        <v>7555</v>
      </c>
      <c r="H758" s="12">
        <v>1</v>
      </c>
      <c r="I758" s="13" t="str">
        <f>HYPERLINK("http://www.ncbi.nlm.nih.gov/gene/2081", "2081")</f>
        <v>2081</v>
      </c>
      <c r="J758" s="13" t="str">
        <f>HYPERLINK("http://www.ncbi.nlm.nih.gov/nuccore/NM_001433", "NM_001433")</f>
        <v>NM_001433</v>
      </c>
      <c r="K758" s="12" t="s">
        <v>7556</v>
      </c>
      <c r="L758" s="13" t="str">
        <f>HYPERLINK("http://asia.ensembl.org/Homo_sapiens/Gene/Summary?g=ENSG00000178607", "ENSG00000178607")</f>
        <v>ENSG00000178607</v>
      </c>
      <c r="M758" s="12" t="s">
        <v>18571</v>
      </c>
      <c r="N758" s="12" t="s">
        <v>18572</v>
      </c>
    </row>
    <row r="759" spans="1:14">
      <c r="A759" s="12" t="s">
        <v>7448</v>
      </c>
      <c r="B759" s="8">
        <v>381.40790244918998</v>
      </c>
      <c r="C759" s="12">
        <v>932.03267821889006</v>
      </c>
      <c r="D759" s="8">
        <v>-1.2890458030579599</v>
      </c>
      <c r="E759" s="12">
        <v>4.0763614261489301E-3</v>
      </c>
      <c r="F759" s="8" t="s">
        <v>7449</v>
      </c>
      <c r="G759" s="12" t="s">
        <v>2134</v>
      </c>
      <c r="H759" s="12">
        <v>1</v>
      </c>
      <c r="I759" s="13" t="str">
        <f>HYPERLINK("http://www.ncbi.nlm.nih.gov/gene/9957", "9957")</f>
        <v>9957</v>
      </c>
      <c r="J759" s="13" t="str">
        <f>HYPERLINK("http://www.ncbi.nlm.nih.gov/nuccore/NM_005114", "NM_005114")</f>
        <v>NM_005114</v>
      </c>
      <c r="K759" s="12" t="s">
        <v>7450</v>
      </c>
      <c r="L759" s="13" t="str">
        <f>HYPERLINK("http://asia.ensembl.org/Homo_sapiens/Gene/Summary?g=ENSG00000002587", "ENSG00000002587")</f>
        <v>ENSG00000002587</v>
      </c>
      <c r="M759" s="12" t="s">
        <v>18526</v>
      </c>
      <c r="N759" s="12" t="s">
        <v>18527</v>
      </c>
    </row>
    <row r="760" spans="1:14">
      <c r="A760" s="12" t="s">
        <v>1520</v>
      </c>
      <c r="B760" s="8">
        <v>3097.8565880808401</v>
      </c>
      <c r="C760" s="12">
        <v>7568.6545945088801</v>
      </c>
      <c r="D760" s="8">
        <v>-1.2887665115876901</v>
      </c>
      <c r="E760" s="12">
        <v>2.7574247069511999E-3</v>
      </c>
      <c r="F760" s="8" t="s">
        <v>1521</v>
      </c>
      <c r="G760" s="12" t="s">
        <v>1522</v>
      </c>
      <c r="H760" s="12">
        <v>1</v>
      </c>
      <c r="I760" s="13" t="str">
        <f>HYPERLINK("http://www.ncbi.nlm.nih.gov/gene/203", "203")</f>
        <v>203</v>
      </c>
      <c r="J760" s="13" t="str">
        <f>HYPERLINK("http://www.ncbi.nlm.nih.gov/nuccore/NM_000476", "NM_000476")</f>
        <v>NM_000476</v>
      </c>
      <c r="K760" s="12" t="s">
        <v>1523</v>
      </c>
      <c r="L760" s="13" t="str">
        <f>HYPERLINK("http://asia.ensembl.org/Homo_sapiens/Gene/Summary?g=ENSG00000106992", "ENSG00000106992")</f>
        <v>ENSG00000106992</v>
      </c>
      <c r="M760" s="12" t="s">
        <v>16660</v>
      </c>
      <c r="N760" s="12" t="s">
        <v>16661</v>
      </c>
    </row>
    <row r="761" spans="1:14">
      <c r="A761" s="12" t="s">
        <v>3249</v>
      </c>
      <c r="B761" s="8">
        <v>733.28672905360099</v>
      </c>
      <c r="C761" s="12">
        <v>1791.3908129239501</v>
      </c>
      <c r="D761" s="8">
        <v>-1.28863077752757</v>
      </c>
      <c r="E761" s="12">
        <v>3.0654999959070402E-3</v>
      </c>
      <c r="F761" s="8" t="s">
        <v>3250</v>
      </c>
      <c r="G761" s="12" t="s">
        <v>3251</v>
      </c>
      <c r="H761" s="12">
        <v>1</v>
      </c>
      <c r="I761" s="13" t="str">
        <f>HYPERLINK("http://www.ncbi.nlm.nih.gov/gene/55277", "55277")</f>
        <v>55277</v>
      </c>
      <c r="J761" s="12" t="s">
        <v>17255</v>
      </c>
      <c r="K761" s="12" t="s">
        <v>17256</v>
      </c>
      <c r="L761" s="13" t="str">
        <f>HYPERLINK("http://asia.ensembl.org/Homo_sapiens/Gene/Summary?g=ENSG00000172456", "ENSG00000172456")</f>
        <v>ENSG00000172456</v>
      </c>
      <c r="M761" s="12" t="s">
        <v>17257</v>
      </c>
      <c r="N761" s="12" t="s">
        <v>17258</v>
      </c>
    </row>
    <row r="762" spans="1:14">
      <c r="A762" s="12" t="s">
        <v>8529</v>
      </c>
      <c r="B762" s="8">
        <v>3047.8822011564798</v>
      </c>
      <c r="C762" s="12">
        <v>7438.5153152565399</v>
      </c>
      <c r="D762" s="8">
        <v>-1.28720755186019</v>
      </c>
      <c r="E762" s="12">
        <v>3.9630814162122802E-3</v>
      </c>
      <c r="F762" s="8" t="s">
        <v>5481</v>
      </c>
      <c r="G762" s="12" t="s">
        <v>5482</v>
      </c>
      <c r="H762" s="12">
        <v>1</v>
      </c>
      <c r="I762" s="13" t="str">
        <f>HYPERLINK("http://www.ncbi.nlm.nih.gov/gene/373156", "373156")</f>
        <v>373156</v>
      </c>
      <c r="J762" s="12" t="s">
        <v>18878</v>
      </c>
      <c r="K762" s="12" t="s">
        <v>18879</v>
      </c>
      <c r="L762" s="13" t="str">
        <f>HYPERLINK("http://asia.ensembl.org/Homo_sapiens/Gene/Summary?g=ENSG00000197448", "ENSG00000197448")</f>
        <v>ENSG00000197448</v>
      </c>
      <c r="M762" s="12" t="s">
        <v>18880</v>
      </c>
      <c r="N762" s="12" t="s">
        <v>18881</v>
      </c>
    </row>
    <row r="763" spans="1:14">
      <c r="A763" s="12" t="s">
        <v>8292</v>
      </c>
      <c r="B763" s="8">
        <v>515.21433494835003</v>
      </c>
      <c r="C763" s="12">
        <v>1256.90661129675</v>
      </c>
      <c r="D763" s="8">
        <v>-1.28663282125728</v>
      </c>
      <c r="E763" s="12">
        <v>2.5525555430456299E-3</v>
      </c>
      <c r="F763" s="8" t="s">
        <v>8293</v>
      </c>
      <c r="G763" s="12" t="s">
        <v>8294</v>
      </c>
      <c r="H763" s="12">
        <v>1</v>
      </c>
      <c r="I763" s="13" t="str">
        <f>HYPERLINK("http://www.ncbi.nlm.nih.gov/gene/441478", "441478")</f>
        <v>441478</v>
      </c>
      <c r="J763" s="13" t="str">
        <f>HYPERLINK("http://www.ncbi.nlm.nih.gov/nuccore/NM_001004354", "NM_001004354")</f>
        <v>NM_001004354</v>
      </c>
      <c r="K763" s="12" t="s">
        <v>8295</v>
      </c>
      <c r="L763" s="13" t="str">
        <f>HYPERLINK("http://asia.ensembl.org/Homo_sapiens/Gene/Summary?g=ENSG00000198435", "ENSG00000198435")</f>
        <v>ENSG00000198435</v>
      </c>
      <c r="M763" s="12" t="s">
        <v>8296</v>
      </c>
      <c r="N763" s="12" t="s">
        <v>8297</v>
      </c>
    </row>
    <row r="764" spans="1:14">
      <c r="A764" s="12" t="s">
        <v>5476</v>
      </c>
      <c r="B764" s="8">
        <v>20444.003228191199</v>
      </c>
      <c r="C764" s="12">
        <v>49862.446898622104</v>
      </c>
      <c r="D764" s="8">
        <v>-1.28627595764642</v>
      </c>
      <c r="E764" s="12">
        <v>6.3959999840487603E-3</v>
      </c>
      <c r="F764" s="8" t="s">
        <v>5477</v>
      </c>
      <c r="G764" s="12" t="s">
        <v>5478</v>
      </c>
      <c r="H764" s="12">
        <v>4</v>
      </c>
      <c r="I764" s="12" t="s">
        <v>5479</v>
      </c>
      <c r="J764" s="12" t="s">
        <v>17883</v>
      </c>
      <c r="K764" s="12" t="s">
        <v>17884</v>
      </c>
      <c r="L764" s="12" t="s">
        <v>5480</v>
      </c>
      <c r="M764" s="12" t="s">
        <v>17885</v>
      </c>
      <c r="N764" s="12" t="s">
        <v>17886</v>
      </c>
    </row>
    <row r="765" spans="1:14">
      <c r="A765" s="12" t="s">
        <v>11824</v>
      </c>
      <c r="B765" s="8">
        <v>284.59915282071199</v>
      </c>
      <c r="C765" s="12">
        <v>694.101649914272</v>
      </c>
      <c r="D765" s="8">
        <v>-1.2862155909853601</v>
      </c>
      <c r="E765" s="12">
        <v>6.6348076126454998E-3</v>
      </c>
      <c r="F765" s="8" t="s">
        <v>11825</v>
      </c>
      <c r="G765" s="12" t="s">
        <v>20214</v>
      </c>
      <c r="H765" s="12">
        <v>4</v>
      </c>
      <c r="I765" s="12" t="s">
        <v>11826</v>
      </c>
      <c r="J765" s="12" t="s">
        <v>11827</v>
      </c>
      <c r="K765" s="12" t="s">
        <v>11828</v>
      </c>
      <c r="L765" s="12" t="s">
        <v>11829</v>
      </c>
      <c r="M765" s="12" t="s">
        <v>20215</v>
      </c>
      <c r="N765" s="12" t="s">
        <v>20216</v>
      </c>
    </row>
    <row r="766" spans="1:14">
      <c r="A766" s="12" t="s">
        <v>6880</v>
      </c>
      <c r="B766" s="8">
        <v>69392.408628236197</v>
      </c>
      <c r="C766" s="12">
        <v>169166.76881167799</v>
      </c>
      <c r="D766" s="8">
        <v>-1.2855964437037</v>
      </c>
      <c r="E766" s="12">
        <v>2.5070940458705201E-3</v>
      </c>
      <c r="F766" s="8" t="s">
        <v>6881</v>
      </c>
      <c r="G766" s="12" t="s">
        <v>286</v>
      </c>
      <c r="H766" s="12">
        <v>1</v>
      </c>
      <c r="I766" s="13" t="str">
        <f>HYPERLINK("http://www.ncbi.nlm.nih.gov/gene/55967", "55967")</f>
        <v>55967</v>
      </c>
      <c r="J766" s="12" t="s">
        <v>18281</v>
      </c>
      <c r="K766" s="12" t="s">
        <v>18282</v>
      </c>
      <c r="L766" s="13" t="str">
        <f>HYPERLINK("http://asia.ensembl.org/Homo_sapiens/Gene/Summary?g=ENSG00000184752", "ENSG00000184752")</f>
        <v>ENSG00000184752</v>
      </c>
      <c r="M766" s="12" t="s">
        <v>18283</v>
      </c>
      <c r="N766" s="12" t="s">
        <v>18284</v>
      </c>
    </row>
    <row r="767" spans="1:14">
      <c r="A767" s="12" t="s">
        <v>8618</v>
      </c>
      <c r="B767" s="8">
        <v>81244.966769213002</v>
      </c>
      <c r="C767" s="12">
        <v>197947.73591043599</v>
      </c>
      <c r="D767" s="8">
        <v>-1.28476922209806</v>
      </c>
      <c r="E767" s="12">
        <v>4.8400172062541E-3</v>
      </c>
      <c r="F767" s="8" t="s">
        <v>8619</v>
      </c>
      <c r="G767" s="12" t="s">
        <v>8620</v>
      </c>
      <c r="H767" s="12">
        <v>1</v>
      </c>
      <c r="I767" s="13" t="str">
        <f>HYPERLINK("http://www.ncbi.nlm.nih.gov/gene/100128731", "100128731")</f>
        <v>100128731</v>
      </c>
      <c r="J767" s="13" t="str">
        <f>HYPERLINK("http://www.ncbi.nlm.nih.gov/nuccore/NM_001134693", "NM_001134693")</f>
        <v>NM_001134693</v>
      </c>
      <c r="K767" s="12" t="s">
        <v>8621</v>
      </c>
      <c r="L767" s="13" t="str">
        <f>HYPERLINK("http://asia.ensembl.org/Homo_sapiens/Gene/Summary?g=ENSG00000228474", "ENSG00000228474")</f>
        <v>ENSG00000228474</v>
      </c>
      <c r="M767" s="12" t="s">
        <v>18935</v>
      </c>
      <c r="N767" s="12" t="s">
        <v>18936</v>
      </c>
    </row>
    <row r="768" spans="1:14">
      <c r="A768" s="12" t="s">
        <v>10228</v>
      </c>
      <c r="B768" s="8">
        <v>129080.290134202</v>
      </c>
      <c r="C768" s="12">
        <v>314387.28838212899</v>
      </c>
      <c r="D768" s="8">
        <v>-1.28427416061097</v>
      </c>
      <c r="E768" s="12">
        <v>5.6399072135075896E-3</v>
      </c>
      <c r="F768" s="8" t="s">
        <v>10229</v>
      </c>
      <c r="G768" s="12" t="s">
        <v>10230</v>
      </c>
      <c r="H768" s="12">
        <v>1</v>
      </c>
      <c r="I768" s="13" t="str">
        <f>HYPERLINK("http://www.ncbi.nlm.nih.gov/gene/6136", "6136")</f>
        <v>6136</v>
      </c>
      <c r="J768" s="13" t="str">
        <f>HYPERLINK("http://www.ncbi.nlm.nih.gov/nuccore/NM_000976", "NM_000976")</f>
        <v>NM_000976</v>
      </c>
      <c r="K768" s="12" t="s">
        <v>10231</v>
      </c>
      <c r="L768" s="13" t="str">
        <f>HYPERLINK("http://asia.ensembl.org/Homo_sapiens/Gene/Summary?g=ENSG00000197958", "ENSG00000197958")</f>
        <v>ENSG00000197958</v>
      </c>
      <c r="M768" s="12" t="s">
        <v>19608</v>
      </c>
      <c r="N768" s="12" t="s">
        <v>19609</v>
      </c>
    </row>
    <row r="769" spans="1:14">
      <c r="A769" s="12" t="s">
        <v>1075</v>
      </c>
      <c r="B769" s="8">
        <v>459.475396689614</v>
      </c>
      <c r="C769" s="12">
        <v>1118.9277136376099</v>
      </c>
      <c r="D769" s="8">
        <v>-1.28405731915167</v>
      </c>
      <c r="E769" s="12">
        <v>2.2380431017452501E-3</v>
      </c>
      <c r="F769" s="8" t="s">
        <v>1076</v>
      </c>
      <c r="G769" s="12" t="s">
        <v>1077</v>
      </c>
      <c r="H769" s="12">
        <v>1</v>
      </c>
      <c r="I769" s="13" t="str">
        <f>HYPERLINK("http://www.ncbi.nlm.nih.gov/gene/3628", "3628")</f>
        <v>3628</v>
      </c>
      <c r="J769" s="12" t="s">
        <v>16502</v>
      </c>
      <c r="K769" s="12" t="s">
        <v>16503</v>
      </c>
      <c r="L769" s="13" t="str">
        <f>HYPERLINK("http://asia.ensembl.org/Homo_sapiens/Gene/Summary?g=ENSG00000151689", "ENSG00000151689")</f>
        <v>ENSG00000151689</v>
      </c>
      <c r="M769" s="12" t="s">
        <v>16504</v>
      </c>
      <c r="N769" s="12" t="s">
        <v>16505</v>
      </c>
    </row>
    <row r="770" spans="1:14">
      <c r="A770" s="12" t="s">
        <v>3292</v>
      </c>
      <c r="B770" s="8">
        <v>124.72579793586399</v>
      </c>
      <c r="C770" s="12">
        <v>303.69255299516402</v>
      </c>
      <c r="D770" s="8">
        <v>-1.2838516328080201</v>
      </c>
      <c r="E770" s="12">
        <v>4.0119557842428398E-2</v>
      </c>
      <c r="F770" s="8" t="s">
        <v>3293</v>
      </c>
      <c r="G770" s="12" t="s">
        <v>3294</v>
      </c>
      <c r="H770" s="12">
        <v>1</v>
      </c>
      <c r="I770" s="13" t="str">
        <f>HYPERLINK("http://www.ncbi.nlm.nih.gov/gene/1043", "1043")</f>
        <v>1043</v>
      </c>
      <c r="J770" s="13" t="str">
        <f>HYPERLINK("http://www.ncbi.nlm.nih.gov/nuccore/NM_001803", "NM_001803")</f>
        <v>NM_001803</v>
      </c>
      <c r="K770" s="12" t="s">
        <v>3295</v>
      </c>
      <c r="L770" s="13" t="str">
        <f>HYPERLINK("http://asia.ensembl.org/Homo_sapiens/Gene/Summary?g=ENSG00000169442", "ENSG00000169442")</f>
        <v>ENSG00000169442</v>
      </c>
      <c r="M770" s="12" t="s">
        <v>17274</v>
      </c>
      <c r="N770" s="12" t="s">
        <v>3296</v>
      </c>
    </row>
    <row r="771" spans="1:14">
      <c r="A771" s="12" t="s">
        <v>7291</v>
      </c>
      <c r="B771" s="8">
        <v>23019.105198163099</v>
      </c>
      <c r="C771" s="12">
        <v>56036.650457534</v>
      </c>
      <c r="D771" s="8">
        <v>-1.2835389685745999</v>
      </c>
      <c r="E771" s="12">
        <v>5.9398167048721404E-3</v>
      </c>
      <c r="F771" s="8" t="s">
        <v>7292</v>
      </c>
      <c r="G771" s="12" t="s">
        <v>18462</v>
      </c>
      <c r="H771" s="12">
        <v>1</v>
      </c>
      <c r="I771" s="13" t="str">
        <f>HYPERLINK("http://www.ncbi.nlm.nih.gov/gene/10094", "10094")</f>
        <v>10094</v>
      </c>
      <c r="J771" s="12" t="s">
        <v>18463</v>
      </c>
      <c r="K771" s="12" t="s">
        <v>18464</v>
      </c>
      <c r="L771" s="13" t="str">
        <f>HYPERLINK("http://asia.ensembl.org/Homo_sapiens/Gene/Summary?g=ENSG00000111229", "ENSG00000111229")</f>
        <v>ENSG00000111229</v>
      </c>
      <c r="M771" s="12" t="s">
        <v>18465</v>
      </c>
      <c r="N771" s="12" t="s">
        <v>18466</v>
      </c>
    </row>
    <row r="772" spans="1:14">
      <c r="A772" s="12" t="s">
        <v>10305</v>
      </c>
      <c r="B772" s="8">
        <v>410.84652992509501</v>
      </c>
      <c r="C772" s="12">
        <v>999.93029428590796</v>
      </c>
      <c r="D772" s="8">
        <v>-1.2832279457092699</v>
      </c>
      <c r="E772" s="12">
        <v>3.72411153835389E-2</v>
      </c>
      <c r="F772" s="8" t="s">
        <v>4675</v>
      </c>
      <c r="G772" s="12" t="s">
        <v>4676</v>
      </c>
      <c r="H772" s="12">
        <v>1</v>
      </c>
      <c r="I772" s="13" t="str">
        <f>HYPERLINK("http://www.ncbi.nlm.nih.gov/gene/23484", "23484")</f>
        <v>23484</v>
      </c>
      <c r="J772" s="13" t="str">
        <f>HYPERLINK("http://www.ncbi.nlm.nih.gov/nuccore/NM_001128208", "NM_001128208")</f>
        <v>NM_001128208</v>
      </c>
      <c r="K772" s="12" t="s">
        <v>10306</v>
      </c>
      <c r="L772" s="13" t="str">
        <f>HYPERLINK("http://asia.ensembl.org/Homo_sapiens/Gene/Summary?g=ENSG00000104660", "ENSG00000104660")</f>
        <v>ENSG00000104660</v>
      </c>
      <c r="M772" s="12" t="s">
        <v>13342</v>
      </c>
      <c r="N772" s="12" t="s">
        <v>13343</v>
      </c>
    </row>
    <row r="773" spans="1:14">
      <c r="A773" s="12" t="s">
        <v>10801</v>
      </c>
      <c r="B773" s="8">
        <v>1001.20662645473</v>
      </c>
      <c r="C773" s="12">
        <v>2436.0114466826199</v>
      </c>
      <c r="D773" s="8">
        <v>-1.2827811678016501</v>
      </c>
      <c r="E773" s="12">
        <v>1.1212599265109299E-3</v>
      </c>
      <c r="F773" s="8" t="s">
        <v>10802</v>
      </c>
      <c r="G773" s="12" t="s">
        <v>10803</v>
      </c>
      <c r="H773" s="12">
        <v>1</v>
      </c>
      <c r="I773" s="13" t="str">
        <f>HYPERLINK("http://www.ncbi.nlm.nih.gov/gene/256302", "256302")</f>
        <v>256302</v>
      </c>
      <c r="J773" s="13" t="str">
        <f>HYPERLINK("http://www.ncbi.nlm.nih.gov/nuccore/NM_152914", "NM_152914")</f>
        <v>NM_152914</v>
      </c>
      <c r="K773" s="12" t="s">
        <v>10804</v>
      </c>
      <c r="L773" s="13" t="str">
        <f>HYPERLINK("http://asia.ensembl.org/Homo_sapiens/Gene/Summary?g=ENSG00000274180", "ENSG00000274180")</f>
        <v>ENSG00000274180</v>
      </c>
      <c r="M773" s="12" t="s">
        <v>10805</v>
      </c>
      <c r="N773" s="12" t="s">
        <v>10806</v>
      </c>
    </row>
    <row r="774" spans="1:14">
      <c r="A774" s="12" t="s">
        <v>11031</v>
      </c>
      <c r="B774" s="8">
        <v>70.955799079699503</v>
      </c>
      <c r="C774" s="12">
        <v>172.53974746959199</v>
      </c>
      <c r="D774" s="8">
        <v>-1.28193624667138</v>
      </c>
      <c r="E774" s="12">
        <v>4.8774547807949903E-2</v>
      </c>
      <c r="F774" s="8" t="s">
        <v>5950</v>
      </c>
      <c r="G774" s="12" t="s">
        <v>5951</v>
      </c>
      <c r="H774" s="12">
        <v>1</v>
      </c>
      <c r="I774" s="13" t="str">
        <f>HYPERLINK("http://www.ncbi.nlm.nih.gov/gene/23353", "23353")</f>
        <v>23353</v>
      </c>
      <c r="J774" s="13" t="str">
        <f>HYPERLINK("http://www.ncbi.nlm.nih.gov/nuccore/NM_001171945", "NM_001171945")</f>
        <v>NM_001171945</v>
      </c>
      <c r="K774" s="12" t="s">
        <v>11032</v>
      </c>
      <c r="L774" s="13" t="str">
        <f>HYPERLINK("http://asia.ensembl.org/Homo_sapiens/Gene/Summary?g=ENSG00000164828", "ENSG00000164828")</f>
        <v>ENSG00000164828</v>
      </c>
      <c r="M774" s="12" t="s">
        <v>19934</v>
      </c>
      <c r="N774" s="12" t="s">
        <v>19935</v>
      </c>
    </row>
    <row r="775" spans="1:14">
      <c r="A775" s="12" t="s">
        <v>11502</v>
      </c>
      <c r="B775" s="8">
        <v>1182.85245069392</v>
      </c>
      <c r="C775" s="12">
        <v>2874.2032784928801</v>
      </c>
      <c r="D775" s="8">
        <v>-1.28089197747807</v>
      </c>
      <c r="E775" s="12">
        <v>2.5875254911005601E-2</v>
      </c>
      <c r="F775" s="8" t="s">
        <v>11503</v>
      </c>
      <c r="G775" s="12" t="s">
        <v>20123</v>
      </c>
      <c r="H775" s="12">
        <v>4</v>
      </c>
      <c r="I775" s="12" t="s">
        <v>11504</v>
      </c>
      <c r="J775" s="12" t="s">
        <v>20124</v>
      </c>
      <c r="K775" s="12" t="s">
        <v>20125</v>
      </c>
      <c r="L775" s="12" t="s">
        <v>11505</v>
      </c>
      <c r="M775" s="12" t="s">
        <v>11506</v>
      </c>
      <c r="N775" s="12" t="s">
        <v>11507</v>
      </c>
    </row>
    <row r="776" spans="1:14">
      <c r="A776" s="12" t="s">
        <v>4568</v>
      </c>
      <c r="B776" s="8">
        <v>348.48045821757398</v>
      </c>
      <c r="C776" s="12">
        <v>846.22391825637703</v>
      </c>
      <c r="D776" s="8">
        <v>-1.2799617074270799</v>
      </c>
      <c r="E776" s="12">
        <v>6.8705405973883502E-3</v>
      </c>
      <c r="F776" s="8" t="s">
        <v>4569</v>
      </c>
      <c r="G776" s="12" t="s">
        <v>447</v>
      </c>
      <c r="H776" s="12">
        <v>1</v>
      </c>
      <c r="I776" s="13" t="str">
        <f>HYPERLINK("http://www.ncbi.nlm.nih.gov/gene/2889", "2889")</f>
        <v>2889</v>
      </c>
      <c r="J776" s="12" t="s">
        <v>17714</v>
      </c>
      <c r="K776" s="12" t="s">
        <v>17715</v>
      </c>
      <c r="L776" s="13" t="str">
        <f>HYPERLINK("http://asia.ensembl.org/Homo_sapiens/Gene/Summary?g=ENSG00000107263", "ENSG00000107263")</f>
        <v>ENSG00000107263</v>
      </c>
      <c r="M776" s="12" t="s">
        <v>17716</v>
      </c>
      <c r="N776" s="12" t="s">
        <v>17717</v>
      </c>
    </row>
    <row r="777" spans="1:14">
      <c r="A777" s="12" t="s">
        <v>6329</v>
      </c>
      <c r="B777" s="8">
        <v>264.48271532391402</v>
      </c>
      <c r="C777" s="12">
        <v>642.09121198039895</v>
      </c>
      <c r="D777" s="8">
        <v>-1.2796048119915699</v>
      </c>
      <c r="E777" s="12">
        <v>2.38461227519683E-4</v>
      </c>
      <c r="F777" s="8" t="s">
        <v>6330</v>
      </c>
      <c r="G777" s="12" t="s">
        <v>6331</v>
      </c>
      <c r="H777" s="12">
        <v>1</v>
      </c>
      <c r="I777" s="13" t="str">
        <f>HYPERLINK("http://www.ncbi.nlm.nih.gov/gene/28992", "28992")</f>
        <v>28992</v>
      </c>
      <c r="J777" s="13" t="str">
        <f>HYPERLINK("http://www.ncbi.nlm.nih.gov/nuccore/NM_014067", "NM_014067")</f>
        <v>NM_014067</v>
      </c>
      <c r="K777" s="12" t="s">
        <v>6332</v>
      </c>
      <c r="L777" s="13" t="str">
        <f>HYPERLINK("http://asia.ensembl.org/Homo_sapiens/Gene/Summary?g=ENSG00000133315", "ENSG00000133315")</f>
        <v>ENSG00000133315</v>
      </c>
      <c r="M777" s="12" t="s">
        <v>18126</v>
      </c>
      <c r="N777" s="12" t="s">
        <v>6333</v>
      </c>
    </row>
    <row r="778" spans="1:14">
      <c r="A778" s="12" t="s">
        <v>8094</v>
      </c>
      <c r="B778" s="8">
        <v>4112.3082115508196</v>
      </c>
      <c r="C778" s="12">
        <v>9982.9734835130294</v>
      </c>
      <c r="D778" s="8">
        <v>-1.27952119772782</v>
      </c>
      <c r="E778" s="12">
        <v>1.27712527400069E-2</v>
      </c>
      <c r="F778" s="8" t="s">
        <v>8095</v>
      </c>
      <c r="G778" s="12" t="s">
        <v>18721</v>
      </c>
      <c r="H778" s="12">
        <v>4</v>
      </c>
      <c r="I778" s="12" t="s">
        <v>8096</v>
      </c>
      <c r="J778" s="12" t="s">
        <v>18722</v>
      </c>
      <c r="K778" s="12" t="s">
        <v>18723</v>
      </c>
      <c r="L778" s="12" t="s">
        <v>8097</v>
      </c>
      <c r="M778" s="12" t="s">
        <v>18724</v>
      </c>
      <c r="N778" s="12" t="s">
        <v>18725</v>
      </c>
    </row>
    <row r="779" spans="1:14">
      <c r="A779" s="12" t="s">
        <v>11766</v>
      </c>
      <c r="B779" s="8">
        <v>31928.484165760801</v>
      </c>
      <c r="C779" s="12">
        <v>77469.633269957907</v>
      </c>
      <c r="D779" s="8">
        <v>-1.2787868489234899</v>
      </c>
      <c r="E779" s="12">
        <v>5.1833560058684204E-3</v>
      </c>
      <c r="F779" s="8" t="s">
        <v>11767</v>
      </c>
      <c r="G779" s="12" t="s">
        <v>20192</v>
      </c>
      <c r="H779" s="12">
        <v>1</v>
      </c>
      <c r="I779" s="13" t="str">
        <f>HYPERLINK("http://www.ncbi.nlm.nih.gov/gene/10248", "10248")</f>
        <v>10248</v>
      </c>
      <c r="J779" s="13" t="str">
        <f>HYPERLINK("http://www.ncbi.nlm.nih.gov/nuccore/NM_005837", "NM_005837")</f>
        <v>NM_005837</v>
      </c>
      <c r="K779" s="12" t="s">
        <v>11768</v>
      </c>
      <c r="L779" s="13" t="str">
        <f>HYPERLINK("http://asia.ensembl.org/Homo_sapiens/Gene/Summary?g=ENSG00000172336", "ENSG00000172336")</f>
        <v>ENSG00000172336</v>
      </c>
      <c r="M779" s="12" t="s">
        <v>20193</v>
      </c>
      <c r="N779" s="12" t="s">
        <v>20194</v>
      </c>
    </row>
    <row r="780" spans="1:14">
      <c r="A780" s="12" t="s">
        <v>3682</v>
      </c>
      <c r="B780" s="8">
        <v>34531.013403018798</v>
      </c>
      <c r="C780" s="12">
        <v>83740.217181811706</v>
      </c>
      <c r="D780" s="8">
        <v>-1.2780279852627801</v>
      </c>
      <c r="E780" s="12">
        <v>3.44814872718467E-3</v>
      </c>
      <c r="F780" s="8" t="s">
        <v>3683</v>
      </c>
      <c r="G780" s="12" t="s">
        <v>3684</v>
      </c>
      <c r="H780" s="12">
        <v>1</v>
      </c>
      <c r="I780" s="13" t="str">
        <f>HYPERLINK("http://www.ncbi.nlm.nih.gov/gene/64928", "64928")</f>
        <v>64928</v>
      </c>
      <c r="J780" s="13" t="str">
        <f>HYPERLINK("http://www.ncbi.nlm.nih.gov/nuccore/NM_032111", "NM_032111")</f>
        <v>NM_032111</v>
      </c>
      <c r="K780" s="12" t="s">
        <v>3685</v>
      </c>
      <c r="L780" s="13" t="str">
        <f>HYPERLINK("http://asia.ensembl.org/Homo_sapiens/Gene/Summary?g=ENSG00000180992", "ENSG00000180992")</f>
        <v>ENSG00000180992</v>
      </c>
      <c r="M780" s="12" t="s">
        <v>3686</v>
      </c>
      <c r="N780" s="12" t="s">
        <v>3687</v>
      </c>
    </row>
    <row r="781" spans="1:14">
      <c r="A781" s="12" t="s">
        <v>7281</v>
      </c>
      <c r="B781" s="8">
        <v>52255.620233068403</v>
      </c>
      <c r="C781" s="12">
        <v>126719.13829225099</v>
      </c>
      <c r="D781" s="8">
        <v>-1.2779763136382201</v>
      </c>
      <c r="E781" s="12">
        <v>3.0496019525551002E-3</v>
      </c>
      <c r="F781" s="8" t="s">
        <v>7282</v>
      </c>
      <c r="G781" s="12" t="s">
        <v>7283</v>
      </c>
      <c r="H781" s="12">
        <v>1</v>
      </c>
      <c r="I781" s="13" t="str">
        <f>HYPERLINK("http://www.ncbi.nlm.nih.gov/gene/6637", "6637")</f>
        <v>6637</v>
      </c>
      <c r="J781" s="13" t="str">
        <f>HYPERLINK("http://www.ncbi.nlm.nih.gov/nuccore/NM_003096", "NM_003096")</f>
        <v>NM_003096</v>
      </c>
      <c r="K781" s="12" t="s">
        <v>7284</v>
      </c>
      <c r="L781" s="13" t="str">
        <f>HYPERLINK("http://asia.ensembl.org/Homo_sapiens/Gene/Summary?g=ENSG00000143977", "ENSG00000143977")</f>
        <v>ENSG00000143977</v>
      </c>
      <c r="M781" s="12" t="s">
        <v>18457</v>
      </c>
      <c r="N781" s="12" t="s">
        <v>18458</v>
      </c>
    </row>
    <row r="782" spans="1:14">
      <c r="A782" s="12" t="s">
        <v>2672</v>
      </c>
      <c r="B782" s="8">
        <v>1910.24164242443</v>
      </c>
      <c r="C782" s="12">
        <v>4632.2421231784501</v>
      </c>
      <c r="D782" s="8">
        <v>-1.27795551533187</v>
      </c>
      <c r="E782" s="12">
        <v>5.6105132300267001E-3</v>
      </c>
      <c r="F782" s="8" t="s">
        <v>2673</v>
      </c>
      <c r="G782" s="12" t="s">
        <v>17070</v>
      </c>
      <c r="H782" s="12">
        <v>1</v>
      </c>
      <c r="I782" s="13" t="str">
        <f>HYPERLINK("http://www.ncbi.nlm.nih.gov/gene/5176", "5176")</f>
        <v>5176</v>
      </c>
      <c r="J782" s="13" t="str">
        <f>HYPERLINK("http://www.ncbi.nlm.nih.gov/nuccore/NM_002615", "NM_002615")</f>
        <v>NM_002615</v>
      </c>
      <c r="K782" s="12" t="s">
        <v>2674</v>
      </c>
      <c r="L782" s="13" t="str">
        <f>HYPERLINK("http://asia.ensembl.org/Homo_sapiens/Gene/Summary?g=ENSG00000132386", "ENSG00000132386")</f>
        <v>ENSG00000132386</v>
      </c>
      <c r="M782" s="12" t="s">
        <v>17071</v>
      </c>
      <c r="N782" s="12" t="s">
        <v>17072</v>
      </c>
    </row>
    <row r="783" spans="1:14">
      <c r="A783" s="12" t="s">
        <v>10019</v>
      </c>
      <c r="B783" s="8">
        <v>5896.2530708792501</v>
      </c>
      <c r="C783" s="12">
        <v>14294.3838966167</v>
      </c>
      <c r="D783" s="8">
        <v>-1.2775780873443501</v>
      </c>
      <c r="E783" s="12">
        <v>1.15660906667705E-3</v>
      </c>
      <c r="F783" s="8" t="s">
        <v>10020</v>
      </c>
      <c r="G783" s="12" t="s">
        <v>10021</v>
      </c>
      <c r="H783" s="12">
        <v>1</v>
      </c>
      <c r="I783" s="13" t="str">
        <f>HYPERLINK("http://www.ncbi.nlm.nih.gov/gene/100134934", "100134934")</f>
        <v>100134934</v>
      </c>
      <c r="J783" s="13" t="str">
        <f>HYPERLINK("http://www.ncbi.nlm.nih.gov/nuccore/NM_001113324", "NM_001113324")</f>
        <v>NM_001113324</v>
      </c>
      <c r="K783" s="12" t="s">
        <v>10022</v>
      </c>
      <c r="L783" s="13" t="str">
        <f>HYPERLINK("http://asia.ensembl.org/Homo_sapiens/Gene/Summary?g=ENSG00000257949", "ENSG00000257949")</f>
        <v>ENSG00000257949</v>
      </c>
      <c r="M783" s="12" t="s">
        <v>19508</v>
      </c>
      <c r="N783" s="12" t="s">
        <v>19509</v>
      </c>
    </row>
    <row r="784" spans="1:14">
      <c r="A784" s="12" t="s">
        <v>4164</v>
      </c>
      <c r="B784" s="8">
        <v>5705.8316127254302</v>
      </c>
      <c r="C784" s="12">
        <v>13822.707646234499</v>
      </c>
      <c r="D784" s="8">
        <v>-1.2765311675155</v>
      </c>
      <c r="E784" s="12">
        <v>3.4883349396899101E-3</v>
      </c>
      <c r="F784" s="8" t="s">
        <v>4165</v>
      </c>
      <c r="G784" s="12" t="s">
        <v>4166</v>
      </c>
      <c r="H784" s="12">
        <v>1</v>
      </c>
      <c r="I784" s="13" t="str">
        <f>HYPERLINK("http://www.ncbi.nlm.nih.gov/gene/7157", "7157")</f>
        <v>7157</v>
      </c>
      <c r="J784" s="12" t="s">
        <v>17591</v>
      </c>
      <c r="K784" s="12" t="s">
        <v>17592</v>
      </c>
      <c r="L784" s="13" t="str">
        <f>HYPERLINK("http://asia.ensembl.org/Homo_sapiens/Gene/Summary?g=ENSG00000141510", "ENSG00000141510")</f>
        <v>ENSG00000141510</v>
      </c>
      <c r="M784" s="12" t="s">
        <v>17593</v>
      </c>
      <c r="N784" s="12" t="s">
        <v>17594</v>
      </c>
    </row>
    <row r="785" spans="1:14">
      <c r="A785" s="12" t="s">
        <v>4914</v>
      </c>
      <c r="B785" s="8">
        <v>32759.724262629701</v>
      </c>
      <c r="C785" s="12">
        <v>79323.2901924654</v>
      </c>
      <c r="D785" s="8">
        <v>-1.27582130537533</v>
      </c>
      <c r="E785" s="12">
        <v>3.4262430531597499E-3</v>
      </c>
      <c r="F785" s="8" t="s">
        <v>4915</v>
      </c>
      <c r="G785" s="12" t="s">
        <v>4916</v>
      </c>
      <c r="H785" s="12">
        <v>1</v>
      </c>
      <c r="I785" s="13" t="str">
        <f>HYPERLINK("http://www.ncbi.nlm.nih.gov/gene/28974", "28974")</f>
        <v>28974</v>
      </c>
      <c r="J785" s="13" t="str">
        <f>HYPERLINK("http://www.ncbi.nlm.nih.gov/nuccore/NM_014047", "NM_014047")</f>
        <v>NM_014047</v>
      </c>
      <c r="K785" s="12" t="s">
        <v>4917</v>
      </c>
      <c r="L785" s="13" t="str">
        <f>HYPERLINK("http://asia.ensembl.org/Homo_sapiens/Gene/Summary?g=ENSG00000104979", "ENSG00000104979")</f>
        <v>ENSG00000104979</v>
      </c>
      <c r="M785" s="12" t="s">
        <v>17762</v>
      </c>
      <c r="N785" s="12" t="s">
        <v>17763</v>
      </c>
    </row>
    <row r="786" spans="1:14">
      <c r="A786" s="12" t="s">
        <v>7641</v>
      </c>
      <c r="B786" s="8">
        <v>194.421993397606</v>
      </c>
      <c r="C786" s="12">
        <v>470.72630920026103</v>
      </c>
      <c r="D786" s="8">
        <v>-1.2756970597761399</v>
      </c>
      <c r="E786" s="12">
        <v>4.6869612415172603E-2</v>
      </c>
      <c r="F786" s="8" t="s">
        <v>7642</v>
      </c>
      <c r="G786" s="12" t="s">
        <v>7643</v>
      </c>
      <c r="H786" s="12">
        <v>1</v>
      </c>
      <c r="I786" s="13" t="str">
        <f>HYPERLINK("http://www.ncbi.nlm.nih.gov/gene/5539", "5539")</f>
        <v>5539</v>
      </c>
      <c r="J786" s="13" t="str">
        <f>HYPERLINK("http://www.ncbi.nlm.nih.gov/nuccore/NM_002722", "NM_002722")</f>
        <v>NM_002722</v>
      </c>
      <c r="K786" s="12" t="s">
        <v>7644</v>
      </c>
      <c r="L786" s="13" t="str">
        <f>HYPERLINK("http://asia.ensembl.org/Homo_sapiens/Gene/Summary?g=ENSG00000108849", "ENSG00000108849")</f>
        <v>ENSG00000108849</v>
      </c>
      <c r="M786" s="12" t="s">
        <v>18601</v>
      </c>
      <c r="N786" s="12" t="s">
        <v>18602</v>
      </c>
    </row>
    <row r="787" spans="1:14">
      <c r="A787" s="12" t="s">
        <v>5170</v>
      </c>
      <c r="B787" s="8">
        <v>7636.7777710441196</v>
      </c>
      <c r="C787" s="12">
        <v>18487.406006531299</v>
      </c>
      <c r="D787" s="8">
        <v>-1.2755068651503501</v>
      </c>
      <c r="E787" s="12">
        <v>3.01851420225334E-2</v>
      </c>
      <c r="F787" s="8" t="s">
        <v>5171</v>
      </c>
      <c r="G787" s="12" t="s">
        <v>17812</v>
      </c>
      <c r="H787" s="12">
        <v>1</v>
      </c>
      <c r="I787" s="13" t="str">
        <f>HYPERLINK("http://www.ncbi.nlm.nih.gov/gene/5322", "5322")</f>
        <v>5322</v>
      </c>
      <c r="J787" s="13" t="str">
        <f>HYPERLINK("http://www.ncbi.nlm.nih.gov/nuccore/NM_000929", "NM_000929")</f>
        <v>NM_000929</v>
      </c>
      <c r="K787" s="12" t="s">
        <v>5172</v>
      </c>
      <c r="L787" s="13" t="str">
        <f>HYPERLINK("http://asia.ensembl.org/Homo_sapiens/Gene/Summary?g=ENSG00000127472", "ENSG00000127472")</f>
        <v>ENSG00000127472</v>
      </c>
      <c r="M787" s="12" t="s">
        <v>17813</v>
      </c>
      <c r="N787" s="12" t="s">
        <v>5173</v>
      </c>
    </row>
    <row r="788" spans="1:14">
      <c r="A788" s="12" t="s">
        <v>9550</v>
      </c>
      <c r="B788" s="8">
        <v>31286.249792710001</v>
      </c>
      <c r="C788" s="12">
        <v>75721.773769443796</v>
      </c>
      <c r="D788" s="8">
        <v>-1.2751794697508601</v>
      </c>
      <c r="E788" s="12">
        <v>3.2430701261532001E-3</v>
      </c>
      <c r="F788" s="8" t="s">
        <v>9551</v>
      </c>
      <c r="G788" s="12" t="s">
        <v>9552</v>
      </c>
      <c r="H788" s="12">
        <v>1</v>
      </c>
      <c r="I788" s="13" t="str">
        <f>HYPERLINK("http://www.ncbi.nlm.nih.gov/gene/9446", "9446")</f>
        <v>9446</v>
      </c>
      <c r="J788" s="12" t="s">
        <v>19187</v>
      </c>
      <c r="K788" s="12" t="s">
        <v>19188</v>
      </c>
      <c r="L788" s="13" t="str">
        <f>HYPERLINK("http://asia.ensembl.org/Homo_sapiens/Gene/Summary?g=ENSG00000148834", "ENSG00000148834")</f>
        <v>ENSG00000148834</v>
      </c>
      <c r="M788" s="12" t="s">
        <v>19189</v>
      </c>
      <c r="N788" s="12" t="s">
        <v>19190</v>
      </c>
    </row>
    <row r="789" spans="1:14">
      <c r="A789" s="12" t="s">
        <v>8506</v>
      </c>
      <c r="B789" s="8">
        <v>85845.844003295701</v>
      </c>
      <c r="C789" s="12">
        <v>207770.08607922401</v>
      </c>
      <c r="D789" s="8">
        <v>-1.2751677588164301</v>
      </c>
      <c r="E789" s="12">
        <v>3.2940003071733602E-3</v>
      </c>
      <c r="F789" s="8" t="s">
        <v>5177</v>
      </c>
      <c r="G789" s="12" t="s">
        <v>5178</v>
      </c>
      <c r="H789" s="12">
        <v>1</v>
      </c>
      <c r="I789" s="13" t="str">
        <f>HYPERLINK("http://www.ncbi.nlm.nih.gov/gene/51504", "51504")</f>
        <v>51504</v>
      </c>
      <c r="J789" s="13" t="str">
        <f>HYPERLINK("http://www.ncbi.nlm.nih.gov/nuccore/NM_016404", "NM_016404")</f>
        <v>NM_016404</v>
      </c>
      <c r="K789" s="12" t="s">
        <v>5179</v>
      </c>
      <c r="L789" s="13" t="str">
        <f>HYPERLINK("http://asia.ensembl.org/Homo_sapiens/Gene/Summary?g=ENSG00000173113", "ENSG00000173113")</f>
        <v>ENSG00000173113</v>
      </c>
      <c r="M789" s="12" t="s">
        <v>17814</v>
      </c>
      <c r="N789" s="12" t="s">
        <v>17815</v>
      </c>
    </row>
    <row r="790" spans="1:14">
      <c r="A790" s="12" t="s">
        <v>10993</v>
      </c>
      <c r="B790" s="8">
        <v>3265.2903745918102</v>
      </c>
      <c r="C790" s="12">
        <v>7899.8305358038197</v>
      </c>
      <c r="D790" s="8">
        <v>-1.2746104125170099</v>
      </c>
      <c r="E790" s="12">
        <v>1.04788714749042E-3</v>
      </c>
      <c r="F790" s="8" t="s">
        <v>10994</v>
      </c>
      <c r="G790" s="12" t="s">
        <v>10995</v>
      </c>
      <c r="H790" s="12">
        <v>4</v>
      </c>
      <c r="I790" s="12" t="s">
        <v>10996</v>
      </c>
      <c r="J790" s="12" t="s">
        <v>10997</v>
      </c>
      <c r="K790" s="12" t="s">
        <v>10998</v>
      </c>
      <c r="L790" s="13" t="str">
        <f>HYPERLINK("http://asia.ensembl.org/Homo_sapiens/Gene/Summary?g=ENSG00000239779", "ENSG00000239779")</f>
        <v>ENSG00000239779</v>
      </c>
      <c r="M790" s="12" t="s">
        <v>19923</v>
      </c>
      <c r="N790" s="12" t="s">
        <v>19924</v>
      </c>
    </row>
    <row r="791" spans="1:14">
      <c r="A791" s="12" t="s">
        <v>8932</v>
      </c>
      <c r="B791" s="8">
        <v>52.926597634558597</v>
      </c>
      <c r="C791" s="12">
        <v>128.04022261868201</v>
      </c>
      <c r="D791" s="8">
        <v>-1.27453227137257</v>
      </c>
      <c r="E791" s="12">
        <v>2.3712085596191399E-2</v>
      </c>
      <c r="F791" s="8" t="s">
        <v>8933</v>
      </c>
      <c r="G791" s="12" t="s">
        <v>8934</v>
      </c>
      <c r="H791" s="12">
        <v>1</v>
      </c>
      <c r="I791" s="13" t="str">
        <f>HYPERLINK("http://www.ncbi.nlm.nih.gov/gene/7639", "7639")</f>
        <v>7639</v>
      </c>
      <c r="J791" s="12" t="s">
        <v>19025</v>
      </c>
      <c r="K791" s="12" t="s">
        <v>19026</v>
      </c>
      <c r="L791" s="13" t="str">
        <f>HYPERLINK("http://asia.ensembl.org/Homo_sapiens/Gene/Summary?g=ENSG00000278091", "ENSG00000278091")</f>
        <v>ENSG00000278091</v>
      </c>
      <c r="M791" s="12" t="s">
        <v>19027</v>
      </c>
      <c r="N791" s="12" t="s">
        <v>19028</v>
      </c>
    </row>
    <row r="792" spans="1:14">
      <c r="A792" s="12" t="s">
        <v>6183</v>
      </c>
      <c r="B792" s="8">
        <v>2064.8102395255</v>
      </c>
      <c r="C792" s="12">
        <v>4994.6217157860201</v>
      </c>
      <c r="D792" s="8">
        <v>-1.2743662138904699</v>
      </c>
      <c r="E792" s="12">
        <v>8.6722628003229295E-4</v>
      </c>
      <c r="F792" s="8" t="s">
        <v>6184</v>
      </c>
      <c r="G792" s="12" t="s">
        <v>6185</v>
      </c>
      <c r="H792" s="12">
        <v>1</v>
      </c>
      <c r="I792" s="13" t="str">
        <f>HYPERLINK("http://www.ncbi.nlm.nih.gov/gene/81786", "81786")</f>
        <v>81786</v>
      </c>
      <c r="J792" s="13" t="str">
        <f>HYPERLINK("http://www.ncbi.nlm.nih.gov/nuccore/NM_033342", "NM_033342")</f>
        <v>NM_033342</v>
      </c>
      <c r="K792" s="12" t="s">
        <v>6186</v>
      </c>
      <c r="L792" s="13" t="str">
        <f>HYPERLINK("http://asia.ensembl.org/Homo_sapiens/Gene/Summary?g=ENSG00000146054", "ENSG00000146054")</f>
        <v>ENSG00000146054</v>
      </c>
      <c r="M792" s="12" t="s">
        <v>18080</v>
      </c>
      <c r="N792" s="12" t="s">
        <v>18081</v>
      </c>
    </row>
    <row r="793" spans="1:14">
      <c r="A793" s="12" t="s">
        <v>8130</v>
      </c>
      <c r="B793" s="8">
        <v>3553.37954489202</v>
      </c>
      <c r="C793" s="12">
        <v>8594.2050578595808</v>
      </c>
      <c r="D793" s="8">
        <v>-1.27417240567097</v>
      </c>
      <c r="E793" s="12">
        <v>4.22161103516034E-3</v>
      </c>
      <c r="F793" s="8" t="s">
        <v>5721</v>
      </c>
      <c r="G793" s="12" t="s">
        <v>18731</v>
      </c>
      <c r="H793" s="12">
        <v>1</v>
      </c>
      <c r="I793" s="13" t="str">
        <f>HYPERLINK("http://www.ncbi.nlm.nih.gov/gene/513", "513")</f>
        <v>513</v>
      </c>
      <c r="J793" s="12" t="s">
        <v>18732</v>
      </c>
      <c r="K793" s="12" t="s">
        <v>18733</v>
      </c>
      <c r="L793" s="13" t="str">
        <f>HYPERLINK("http://asia.ensembl.org/Homo_sapiens/Gene/Summary?g=ENSG00000099624", "ENSG00000099624")</f>
        <v>ENSG00000099624</v>
      </c>
      <c r="M793" s="12" t="s">
        <v>18734</v>
      </c>
      <c r="N793" s="12" t="s">
        <v>18735</v>
      </c>
    </row>
    <row r="794" spans="1:14">
      <c r="A794" s="12" t="s">
        <v>8939</v>
      </c>
      <c r="B794" s="8">
        <v>530.70368336406796</v>
      </c>
      <c r="C794" s="12">
        <v>1283.29234087297</v>
      </c>
      <c r="D794" s="8">
        <v>-1.2738713945671201</v>
      </c>
      <c r="E794" s="12">
        <v>4.9473335049777401E-3</v>
      </c>
      <c r="F794" s="8" t="s">
        <v>1594</v>
      </c>
      <c r="G794" s="12" t="s">
        <v>19031</v>
      </c>
      <c r="H794" s="12">
        <v>1</v>
      </c>
      <c r="I794" s="13" t="str">
        <f>HYPERLINK("http://www.ncbi.nlm.nih.gov/gene/10946", "10946")</f>
        <v>10946</v>
      </c>
      <c r="J794" s="13" t="str">
        <f>HYPERLINK("http://www.ncbi.nlm.nih.gov/nuccore/NM_006802", "NM_006802")</f>
        <v>NM_006802</v>
      </c>
      <c r="K794" s="12" t="s">
        <v>1595</v>
      </c>
      <c r="L794" s="13" t="str">
        <f>HYPERLINK("http://asia.ensembl.org/Homo_sapiens/Gene/Summary?g=ENSG00000183431", "ENSG00000183431")</f>
        <v>ENSG00000183431</v>
      </c>
      <c r="M794" s="12" t="s">
        <v>19032</v>
      </c>
      <c r="N794" s="12" t="s">
        <v>1596</v>
      </c>
    </row>
    <row r="795" spans="1:14">
      <c r="A795" s="12" t="s">
        <v>467</v>
      </c>
      <c r="B795" s="8">
        <v>12953.729195673301</v>
      </c>
      <c r="C795" s="12">
        <v>31322.168685043998</v>
      </c>
      <c r="D795" s="8">
        <v>-1.2738166162074001</v>
      </c>
      <c r="E795" s="12">
        <v>2.43725731801179E-3</v>
      </c>
      <c r="F795" s="8" t="s">
        <v>468</v>
      </c>
      <c r="G795" s="12" t="s">
        <v>469</v>
      </c>
      <c r="H795" s="12">
        <v>1</v>
      </c>
      <c r="I795" s="13" t="str">
        <f>HYPERLINK("http://www.ncbi.nlm.nih.gov/gene/79081", "79081")</f>
        <v>79081</v>
      </c>
      <c r="J795" s="13" t="str">
        <f>HYPERLINK("http://www.ncbi.nlm.nih.gov/nuccore/NM_024099", "NM_024099")</f>
        <v>NM_024099</v>
      </c>
      <c r="K795" s="12" t="s">
        <v>470</v>
      </c>
      <c r="L795" s="13" t="str">
        <f>HYPERLINK("http://asia.ensembl.org/Homo_sapiens/Gene/Summary?g=ENSG00000162194", "ENSG00000162194")</f>
        <v>ENSG00000162194</v>
      </c>
      <c r="M795" s="12" t="s">
        <v>16334</v>
      </c>
      <c r="N795" s="12" t="s">
        <v>16335</v>
      </c>
    </row>
    <row r="796" spans="1:14">
      <c r="A796" s="12" t="s">
        <v>9141</v>
      </c>
      <c r="B796" s="8">
        <v>4550.7176458225404</v>
      </c>
      <c r="C796" s="12">
        <v>11003.562347531801</v>
      </c>
      <c r="D796" s="8">
        <v>-1.27380468394955</v>
      </c>
      <c r="E796" s="12">
        <v>9.7087609807547999E-4</v>
      </c>
      <c r="F796" s="8" t="s">
        <v>9142</v>
      </c>
      <c r="G796" s="12" t="s">
        <v>19070</v>
      </c>
      <c r="H796" s="12">
        <v>1</v>
      </c>
      <c r="I796" s="13" t="str">
        <f>HYPERLINK("http://www.ncbi.nlm.nih.gov/gene/23770", "23770")</f>
        <v>23770</v>
      </c>
      <c r="J796" s="13" t="str">
        <f>HYPERLINK("http://www.ncbi.nlm.nih.gov/nuccore/NM_012181", "NM_012181")</f>
        <v>NM_012181</v>
      </c>
      <c r="K796" s="12" t="s">
        <v>9143</v>
      </c>
      <c r="L796" s="13" t="str">
        <f>HYPERLINK("http://asia.ensembl.org/Homo_sapiens/Gene/Summary?g=ENSG00000105701", "ENSG00000105701")</f>
        <v>ENSG00000105701</v>
      </c>
      <c r="M796" s="12" t="s">
        <v>19071</v>
      </c>
      <c r="N796" s="12" t="s">
        <v>19072</v>
      </c>
    </row>
    <row r="797" spans="1:14">
      <c r="A797" s="12" t="s">
        <v>10235</v>
      </c>
      <c r="B797" s="8">
        <v>17280.890927486002</v>
      </c>
      <c r="C797" s="12">
        <v>41784.397178355299</v>
      </c>
      <c r="D797" s="8">
        <v>-1.2737867238212801</v>
      </c>
      <c r="E797" s="12">
        <v>3.7087253565764801E-3</v>
      </c>
      <c r="F797" s="8" t="s">
        <v>10236</v>
      </c>
      <c r="G797" s="12" t="s">
        <v>19613</v>
      </c>
      <c r="H797" s="12">
        <v>1</v>
      </c>
      <c r="I797" s="13" t="str">
        <f>HYPERLINK("http://www.ncbi.nlm.nih.gov/gene/516", "516")</f>
        <v>516</v>
      </c>
      <c r="J797" s="12" t="s">
        <v>19614</v>
      </c>
      <c r="K797" s="12" t="s">
        <v>19615</v>
      </c>
      <c r="L797" s="13" t="str">
        <f>HYPERLINK("http://asia.ensembl.org/Homo_sapiens/Gene/Summary?g=ENSG00000159199", "ENSG00000159199")</f>
        <v>ENSG00000159199</v>
      </c>
      <c r="M797" s="12" t="s">
        <v>19616</v>
      </c>
      <c r="N797" s="12" t="s">
        <v>19617</v>
      </c>
    </row>
    <row r="798" spans="1:14">
      <c r="A798" s="12" t="s">
        <v>9356</v>
      </c>
      <c r="B798" s="8">
        <v>100.265454127772</v>
      </c>
      <c r="C798" s="12">
        <v>242.412828511497</v>
      </c>
      <c r="D798" s="8">
        <v>-1.27364142892417</v>
      </c>
      <c r="E798" s="12">
        <v>2.7117632310464002E-3</v>
      </c>
      <c r="F798" s="8" t="s">
        <v>9357</v>
      </c>
      <c r="G798" s="12" t="s">
        <v>9358</v>
      </c>
      <c r="H798" s="12">
        <v>1</v>
      </c>
      <c r="I798" s="13" t="str">
        <f>HYPERLINK("http://www.ncbi.nlm.nih.gov/gene/333929", "333929")</f>
        <v>333929</v>
      </c>
      <c r="J798" s="13" t="str">
        <f>HYPERLINK("http://www.ncbi.nlm.nih.gov/nuccore/NM_178310", "NM_178310")</f>
        <v>NM_178310</v>
      </c>
      <c r="K798" s="12" t="s">
        <v>9359</v>
      </c>
      <c r="L798" s="13" t="str">
        <f>HYPERLINK("http://asia.ensembl.org/Homo_sapiens/Gene/Summary?g=ENSG00000185669", "ENSG00000185669")</f>
        <v>ENSG00000185669</v>
      </c>
      <c r="M798" s="12" t="s">
        <v>9360</v>
      </c>
      <c r="N798" s="12" t="s">
        <v>9361</v>
      </c>
    </row>
    <row r="799" spans="1:14">
      <c r="A799" s="12" t="s">
        <v>4246</v>
      </c>
      <c r="B799" s="8">
        <v>33954.533171267103</v>
      </c>
      <c r="C799" s="12">
        <v>82075.506978981197</v>
      </c>
      <c r="D799" s="8">
        <v>-1.27334755896785</v>
      </c>
      <c r="E799" s="12">
        <v>9.0813535613834002E-3</v>
      </c>
      <c r="F799" s="8" t="s">
        <v>4247</v>
      </c>
      <c r="G799" s="12" t="s">
        <v>4248</v>
      </c>
      <c r="H799" s="12">
        <v>1</v>
      </c>
      <c r="I799" s="13" t="str">
        <f>HYPERLINK("http://www.ncbi.nlm.nih.gov/gene/2079", "2079")</f>
        <v>2079</v>
      </c>
      <c r="J799" s="13" t="str">
        <f>HYPERLINK("http://www.ncbi.nlm.nih.gov/nuccore/NM_004450", "NM_004450")</f>
        <v>NM_004450</v>
      </c>
      <c r="K799" s="12" t="s">
        <v>4249</v>
      </c>
      <c r="L799" s="13" t="str">
        <f>HYPERLINK("http://asia.ensembl.org/Homo_sapiens/Gene/Summary?g=ENSG00000100632", "ENSG00000100632")</f>
        <v>ENSG00000100632</v>
      </c>
      <c r="M799" s="12" t="s">
        <v>17630</v>
      </c>
      <c r="N799" s="12" t="s">
        <v>17631</v>
      </c>
    </row>
    <row r="800" spans="1:14">
      <c r="A800" s="12" t="s">
        <v>11103</v>
      </c>
      <c r="B800" s="8">
        <v>10102.997627922399</v>
      </c>
      <c r="C800" s="12">
        <v>24420.198390948601</v>
      </c>
      <c r="D800" s="8">
        <v>-1.2732915070041999</v>
      </c>
      <c r="E800" s="12">
        <v>4.6544189794367804E-3</v>
      </c>
      <c r="F800" s="8" t="s">
        <v>11104</v>
      </c>
      <c r="G800" s="12" t="s">
        <v>19964</v>
      </c>
      <c r="H800" s="12">
        <v>1</v>
      </c>
      <c r="I800" s="13" t="str">
        <f>HYPERLINK("http://www.ncbi.nlm.nih.gov/gene/85395", "85395")</f>
        <v>85395</v>
      </c>
      <c r="J800" s="13" t="str">
        <f>HYPERLINK("http://www.ncbi.nlm.nih.gov/nuccore/NM_058190", "NM_058190")</f>
        <v>NM_058190</v>
      </c>
      <c r="K800" s="12" t="s">
        <v>11105</v>
      </c>
      <c r="L800" s="13" t="str">
        <f>HYPERLINK("http://asia.ensembl.org/Homo_sapiens/Gene/Summary?g=ENSG00000160256", "ENSG00000160256")</f>
        <v>ENSG00000160256</v>
      </c>
      <c r="M800" s="12" t="s">
        <v>19965</v>
      </c>
      <c r="N800" s="12" t="s">
        <v>19966</v>
      </c>
    </row>
    <row r="801" spans="1:14">
      <c r="A801" s="12" t="s">
        <v>3840</v>
      </c>
      <c r="B801" s="8">
        <v>2279.4905616754299</v>
      </c>
      <c r="C801" s="12">
        <v>5509.3836443441696</v>
      </c>
      <c r="D801" s="8">
        <v>-1.2731794923780599</v>
      </c>
      <c r="E801" s="12">
        <v>1.2834363547188699E-3</v>
      </c>
      <c r="F801" s="8" t="s">
        <v>3841</v>
      </c>
      <c r="G801" s="12" t="s">
        <v>3842</v>
      </c>
      <c r="H801" s="12">
        <v>1</v>
      </c>
      <c r="I801" s="13" t="str">
        <f>HYPERLINK("http://www.ncbi.nlm.nih.gov/gene/5134", "5134")</f>
        <v>5134</v>
      </c>
      <c r="J801" s="12" t="s">
        <v>17441</v>
      </c>
      <c r="K801" s="12" t="s">
        <v>17442</v>
      </c>
      <c r="L801" s="13" t="str">
        <f>HYPERLINK("http://asia.ensembl.org/Homo_sapiens/Gene/Summary?g=ENSG00000071994", "ENSG00000071994")</f>
        <v>ENSG00000071994</v>
      </c>
      <c r="M801" s="12" t="s">
        <v>17443</v>
      </c>
      <c r="N801" s="12" t="s">
        <v>17444</v>
      </c>
    </row>
    <row r="802" spans="1:14">
      <c r="A802" s="12" t="s">
        <v>3192</v>
      </c>
      <c r="B802" s="8">
        <v>51.8714765212316</v>
      </c>
      <c r="C802" s="12">
        <v>125.351414462061</v>
      </c>
      <c r="D802" s="8">
        <v>-1.2729649338934199</v>
      </c>
      <c r="E802" s="12">
        <v>2.9281539296209698E-3</v>
      </c>
      <c r="F802" s="8" t="s">
        <v>3193</v>
      </c>
      <c r="G802" s="12" t="s">
        <v>3194</v>
      </c>
      <c r="H802" s="12">
        <v>1</v>
      </c>
      <c r="I802" s="13" t="str">
        <f>HYPERLINK("http://www.ncbi.nlm.nih.gov/gene/27163", "27163")</f>
        <v>27163</v>
      </c>
      <c r="J802" s="13" t="str">
        <f>HYPERLINK("http://www.ncbi.nlm.nih.gov/nuccore/NM_001042402", "NM_001042402")</f>
        <v>NM_001042402</v>
      </c>
      <c r="K802" s="12" t="s">
        <v>3195</v>
      </c>
      <c r="L802" s="13" t="str">
        <f>HYPERLINK("http://asia.ensembl.org/Homo_sapiens/Gene/Summary?g=ENSG00000138744", "ENSG00000138744")</f>
        <v>ENSG00000138744</v>
      </c>
      <c r="M802" s="12" t="s">
        <v>17243</v>
      </c>
      <c r="N802" s="12" t="s">
        <v>17244</v>
      </c>
    </row>
    <row r="803" spans="1:14">
      <c r="A803" s="12" t="s">
        <v>11484</v>
      </c>
      <c r="B803" s="8">
        <v>545.35567188130301</v>
      </c>
      <c r="C803" s="12">
        <v>1317.7791285555199</v>
      </c>
      <c r="D803" s="8">
        <v>-1.27283923853119</v>
      </c>
      <c r="E803" s="12">
        <v>1.53274657585705E-3</v>
      </c>
      <c r="F803" s="8" t="s">
        <v>11485</v>
      </c>
      <c r="G803" s="12" t="s">
        <v>11486</v>
      </c>
      <c r="H803" s="12">
        <v>4</v>
      </c>
      <c r="I803" s="12" t="s">
        <v>11487</v>
      </c>
      <c r="J803" s="12" t="s">
        <v>20116</v>
      </c>
      <c r="K803" s="12" t="s">
        <v>20117</v>
      </c>
      <c r="L803" s="12" t="s">
        <v>11488</v>
      </c>
      <c r="M803" s="12" t="s">
        <v>20118</v>
      </c>
      <c r="N803" s="12" t="s">
        <v>11489</v>
      </c>
    </row>
    <row r="804" spans="1:14">
      <c r="A804" s="12" t="s">
        <v>8830</v>
      </c>
      <c r="B804" s="8">
        <v>587.95357816889896</v>
      </c>
      <c r="C804" s="12">
        <v>1420.6993197500699</v>
      </c>
      <c r="D804" s="8">
        <v>-1.2728270946183899</v>
      </c>
      <c r="E804" s="12">
        <v>1.27175236908127E-3</v>
      </c>
      <c r="F804" s="8" t="s">
        <v>7859</v>
      </c>
      <c r="G804" s="12" t="s">
        <v>7860</v>
      </c>
      <c r="H804" s="12">
        <v>4</v>
      </c>
      <c r="I804" s="12" t="s">
        <v>7861</v>
      </c>
      <c r="J804" s="12" t="s">
        <v>18966</v>
      </c>
      <c r="K804" s="12" t="s">
        <v>18967</v>
      </c>
      <c r="L804" s="13" t="str">
        <f>HYPERLINK("http://asia.ensembl.org/Homo_sapiens/Gene/Summary?g=ENSG00000160563", "ENSG00000160563")</f>
        <v>ENSG00000160563</v>
      </c>
      <c r="M804" s="12" t="s">
        <v>18968</v>
      </c>
      <c r="N804" s="12" t="s">
        <v>18969</v>
      </c>
    </row>
    <row r="805" spans="1:14">
      <c r="A805" s="12" t="s">
        <v>3549</v>
      </c>
      <c r="B805" s="8">
        <v>161.31704820393699</v>
      </c>
      <c r="C805" s="12">
        <v>389.78801243022201</v>
      </c>
      <c r="D805" s="8">
        <v>-1.2727908100119201</v>
      </c>
      <c r="E805" s="12">
        <v>5.0787132240223297E-3</v>
      </c>
      <c r="F805" s="8" t="s">
        <v>3550</v>
      </c>
      <c r="G805" s="12" t="s">
        <v>3551</v>
      </c>
      <c r="H805" s="12">
        <v>1</v>
      </c>
      <c r="I805" s="13" t="str">
        <f>HYPERLINK("http://www.ncbi.nlm.nih.gov/gene/8862", "8862")</f>
        <v>8862</v>
      </c>
      <c r="J805" s="13" t="str">
        <f>HYPERLINK("http://www.ncbi.nlm.nih.gov/nuccore/NM_017413", "NM_017413")</f>
        <v>NM_017413</v>
      </c>
      <c r="K805" s="12" t="s">
        <v>3552</v>
      </c>
      <c r="L805" s="13" t="str">
        <f>HYPERLINK("http://asia.ensembl.org/Homo_sapiens/Gene/Summary?g=ENSG00000171388", "ENSG00000171388")</f>
        <v>ENSG00000171388</v>
      </c>
      <c r="M805" s="12" t="s">
        <v>3553</v>
      </c>
      <c r="N805" s="12" t="s">
        <v>3554</v>
      </c>
    </row>
    <row r="806" spans="1:14">
      <c r="A806" s="12" t="s">
        <v>7543</v>
      </c>
      <c r="B806" s="8">
        <v>81.084615413870793</v>
      </c>
      <c r="C806" s="12">
        <v>195.874748251694</v>
      </c>
      <c r="D806" s="8">
        <v>-1.2724313046367099</v>
      </c>
      <c r="E806" s="12">
        <v>5.23329891508641E-4</v>
      </c>
      <c r="F806" s="8" t="s">
        <v>7544</v>
      </c>
      <c r="G806" s="12" t="s">
        <v>7545</v>
      </c>
      <c r="H806" s="12">
        <v>1</v>
      </c>
      <c r="I806" s="13" t="str">
        <f>HYPERLINK("http://www.ncbi.nlm.nih.gov/gene/155382", "155382")</f>
        <v>155382</v>
      </c>
      <c r="J806" s="13" t="str">
        <f>HYPERLINK("http://www.ncbi.nlm.nih.gov/nuccore/NM_001077621", "NM_001077621")</f>
        <v>NM_001077621</v>
      </c>
      <c r="K806" s="12" t="s">
        <v>7546</v>
      </c>
      <c r="L806" s="13" t="str">
        <f>HYPERLINK("http://asia.ensembl.org/Homo_sapiens/Gene/Summary?g=ENSG00000176428", "ENSG00000176428")</f>
        <v>ENSG00000176428</v>
      </c>
      <c r="M806" s="12" t="s">
        <v>18568</v>
      </c>
      <c r="N806" s="12" t="s">
        <v>18569</v>
      </c>
    </row>
    <row r="807" spans="1:14">
      <c r="A807" s="12" t="s">
        <v>10636</v>
      </c>
      <c r="B807" s="8">
        <v>262.89436601870801</v>
      </c>
      <c r="C807" s="12">
        <v>634.85766136987104</v>
      </c>
      <c r="D807" s="8">
        <v>-1.27194994338014</v>
      </c>
      <c r="E807" s="12">
        <v>1.2951266247591501E-2</v>
      </c>
      <c r="F807" s="8" t="s">
        <v>936</v>
      </c>
      <c r="G807" s="12" t="s">
        <v>937</v>
      </c>
      <c r="H807" s="12">
        <v>1</v>
      </c>
      <c r="I807" s="13" t="str">
        <f>HYPERLINK("http://www.ncbi.nlm.nih.gov/gene/8436", "8436")</f>
        <v>8436</v>
      </c>
      <c r="J807" s="13" t="str">
        <f>HYPERLINK("http://www.ncbi.nlm.nih.gov/nuccore/NM_004657", "NM_004657")</f>
        <v>NM_004657</v>
      </c>
      <c r="K807" s="12" t="s">
        <v>938</v>
      </c>
      <c r="L807" s="13" t="str">
        <f>HYPERLINK("http://asia.ensembl.org/Homo_sapiens/Gene/Summary?g=ENSG00000168497", "ENSG00000168497")</f>
        <v>ENSG00000168497</v>
      </c>
      <c r="M807" s="12" t="s">
        <v>939</v>
      </c>
      <c r="N807" s="12" t="s">
        <v>940</v>
      </c>
    </row>
    <row r="808" spans="1:14">
      <c r="A808" s="12" t="s">
        <v>11729</v>
      </c>
      <c r="B808" s="8">
        <v>9767.1779727578905</v>
      </c>
      <c r="C808" s="12">
        <v>23583.0271325617</v>
      </c>
      <c r="D808" s="8">
        <v>-1.2717352253188801</v>
      </c>
      <c r="E808" s="12">
        <v>1.26667779723187E-2</v>
      </c>
      <c r="F808" s="8" t="s">
        <v>38</v>
      </c>
      <c r="G808" s="12" t="s">
        <v>38</v>
      </c>
      <c r="H808" s="12">
        <v>1</v>
      </c>
      <c r="I808" s="12" t="s">
        <v>38</v>
      </c>
      <c r="J808" s="12" t="s">
        <v>38</v>
      </c>
      <c r="K808" s="12" t="s">
        <v>38</v>
      </c>
      <c r="L808" s="13" t="str">
        <f>HYPERLINK("http://asia.ensembl.org/Homo_sapiens/Gene/Summary?g=ENSG00000279461", "ENSG00000279461")</f>
        <v>ENSG00000279461</v>
      </c>
      <c r="M808" s="12" t="s">
        <v>11730</v>
      </c>
      <c r="N808" s="12" t="s">
        <v>11731</v>
      </c>
    </row>
    <row r="809" spans="1:14">
      <c r="A809" s="12" t="s">
        <v>8257</v>
      </c>
      <c r="B809" s="8">
        <v>25900.0774956721</v>
      </c>
      <c r="C809" s="12">
        <v>62485.378932604799</v>
      </c>
      <c r="D809" s="8">
        <v>-1.2705622358200099</v>
      </c>
      <c r="E809" s="12">
        <v>3.01902205484235E-3</v>
      </c>
      <c r="F809" s="8" t="s">
        <v>7193</v>
      </c>
      <c r="G809" s="12" t="s">
        <v>7194</v>
      </c>
      <c r="H809" s="12">
        <v>1</v>
      </c>
      <c r="I809" s="13" t="str">
        <f>HYPERLINK("http://www.ncbi.nlm.nih.gov/gene/25873", "25873")</f>
        <v>25873</v>
      </c>
      <c r="J809" s="12" t="s">
        <v>18407</v>
      </c>
      <c r="K809" s="12" t="s">
        <v>18408</v>
      </c>
      <c r="L809" s="13" t="str">
        <f>HYPERLINK("http://asia.ensembl.org/Homo_sapiens/Gene/Summary?g=ENSG00000130255", "ENSG00000130255")</f>
        <v>ENSG00000130255</v>
      </c>
      <c r="M809" s="12" t="s">
        <v>18409</v>
      </c>
      <c r="N809" s="12" t="s">
        <v>18410</v>
      </c>
    </row>
    <row r="810" spans="1:14">
      <c r="A810" s="12" t="s">
        <v>9668</v>
      </c>
      <c r="B810" s="8">
        <v>2191.2128813090799</v>
      </c>
      <c r="C810" s="12">
        <v>5284.6433976734497</v>
      </c>
      <c r="D810" s="8">
        <v>-1.27007647107036</v>
      </c>
      <c r="E810" s="12">
        <v>8.4499181830922608E-3</v>
      </c>
      <c r="F810" s="8" t="s">
        <v>9669</v>
      </c>
      <c r="G810" s="12" t="s">
        <v>9670</v>
      </c>
      <c r="H810" s="12">
        <v>1</v>
      </c>
      <c r="I810" s="13" t="str">
        <f>HYPERLINK("http://www.ncbi.nlm.nih.gov/gene/9394", "9394")</f>
        <v>9394</v>
      </c>
      <c r="J810" s="13" t="str">
        <f>HYPERLINK("http://www.ncbi.nlm.nih.gov/nuccore/NM_004807", "NM_004807")</f>
        <v>NM_004807</v>
      </c>
      <c r="K810" s="12" t="s">
        <v>9671</v>
      </c>
      <c r="L810" s="13" t="str">
        <f>HYPERLINK("http://asia.ensembl.org/Homo_sapiens/Gene/Summary?g=ENSG00000136720", "ENSG00000136720")</f>
        <v>ENSG00000136720</v>
      </c>
      <c r="M810" s="12" t="s">
        <v>19256</v>
      </c>
      <c r="N810" s="12" t="s">
        <v>9672</v>
      </c>
    </row>
    <row r="811" spans="1:14">
      <c r="A811" s="12" t="s">
        <v>7152</v>
      </c>
      <c r="B811" s="8">
        <v>36208.934116745797</v>
      </c>
      <c r="C811" s="12">
        <v>87271.895759630497</v>
      </c>
      <c r="D811" s="8">
        <v>-1.2691714275836401</v>
      </c>
      <c r="E811" s="12">
        <v>4.8641158123154697E-3</v>
      </c>
      <c r="F811" s="8" t="s">
        <v>7153</v>
      </c>
      <c r="G811" s="12" t="s">
        <v>7154</v>
      </c>
      <c r="H811" s="12">
        <v>1</v>
      </c>
      <c r="I811" s="13" t="str">
        <f>HYPERLINK("http://www.ncbi.nlm.nih.gov/gene/1163", "1163")</f>
        <v>1163</v>
      </c>
      <c r="J811" s="12" t="s">
        <v>18390</v>
      </c>
      <c r="K811" s="12" t="s">
        <v>18391</v>
      </c>
      <c r="L811" s="13" t="str">
        <f>HYPERLINK("http://asia.ensembl.org/Homo_sapiens/Gene/Summary?g=ENSG00000173207", "ENSG00000173207")</f>
        <v>ENSG00000173207</v>
      </c>
      <c r="M811" s="12" t="s">
        <v>18392</v>
      </c>
      <c r="N811" s="12" t="s">
        <v>18393</v>
      </c>
    </row>
    <row r="812" spans="1:14">
      <c r="A812" s="12" t="s">
        <v>7522</v>
      </c>
      <c r="B812" s="8">
        <v>84745.234429407006</v>
      </c>
      <c r="C812" s="12">
        <v>204233.232306944</v>
      </c>
      <c r="D812" s="8">
        <v>-1.2690134899388901</v>
      </c>
      <c r="E812" s="12">
        <v>8.9724344460064102E-3</v>
      </c>
      <c r="F812" s="8" t="s">
        <v>2059</v>
      </c>
      <c r="G812" s="12" t="s">
        <v>2060</v>
      </c>
      <c r="H812" s="12">
        <v>1</v>
      </c>
      <c r="I812" s="13" t="str">
        <f>HYPERLINK("http://www.ncbi.nlm.nih.gov/gene/9556", "9556")</f>
        <v>9556</v>
      </c>
      <c r="J812" s="12" t="s">
        <v>16904</v>
      </c>
      <c r="K812" s="12" t="s">
        <v>16905</v>
      </c>
      <c r="L812" s="13" t="str">
        <f>HYPERLINK("http://asia.ensembl.org/Homo_sapiens/Gene/Summary?g=ENSG00000156411", "ENSG00000156411")</f>
        <v>ENSG00000156411</v>
      </c>
      <c r="M812" s="12" t="s">
        <v>16906</v>
      </c>
      <c r="N812" s="12" t="s">
        <v>16907</v>
      </c>
    </row>
    <row r="813" spans="1:14">
      <c r="A813" s="12" t="s">
        <v>4060</v>
      </c>
      <c r="B813" s="8">
        <v>70874.974213381007</v>
      </c>
      <c r="C813" s="12">
        <v>170802.685301911</v>
      </c>
      <c r="D813" s="8">
        <v>-1.26898244643076</v>
      </c>
      <c r="E813" s="12">
        <v>8.6792971766964898E-3</v>
      </c>
      <c r="F813" s="8" t="s">
        <v>4061</v>
      </c>
      <c r="G813" s="12" t="s">
        <v>286</v>
      </c>
      <c r="H813" s="12">
        <v>1</v>
      </c>
      <c r="I813" s="13" t="str">
        <f>HYPERLINK("http://www.ncbi.nlm.nih.gov/gene/4725", "4725")</f>
        <v>4725</v>
      </c>
      <c r="J813" s="12" t="s">
        <v>17533</v>
      </c>
      <c r="K813" s="12" t="s">
        <v>17534</v>
      </c>
      <c r="L813" s="13" t="str">
        <f>HYPERLINK("http://asia.ensembl.org/Homo_sapiens/Gene/Summary?g=ENSG00000168653", "ENSG00000168653")</f>
        <v>ENSG00000168653</v>
      </c>
      <c r="M813" s="12" t="s">
        <v>17535</v>
      </c>
      <c r="N813" s="12" t="s">
        <v>17536</v>
      </c>
    </row>
    <row r="814" spans="1:14">
      <c r="A814" s="12" t="s">
        <v>6903</v>
      </c>
      <c r="B814" s="8">
        <v>32374.950945864599</v>
      </c>
      <c r="C814" s="12">
        <v>77990.591764688405</v>
      </c>
      <c r="D814" s="8">
        <v>-1.268422091063</v>
      </c>
      <c r="E814" s="12">
        <v>1.7417217169477301E-4</v>
      </c>
      <c r="F814" s="8" t="s">
        <v>6904</v>
      </c>
      <c r="G814" s="12" t="s">
        <v>6905</v>
      </c>
      <c r="H814" s="12">
        <v>1</v>
      </c>
      <c r="I814" s="13" t="str">
        <f>HYPERLINK("http://www.ncbi.nlm.nih.gov/gene/54998", "54998")</f>
        <v>54998</v>
      </c>
      <c r="J814" s="12" t="s">
        <v>18293</v>
      </c>
      <c r="K814" s="12" t="s">
        <v>18294</v>
      </c>
      <c r="L814" s="13" t="str">
        <f>HYPERLINK("http://asia.ensembl.org/Homo_sapiens/Gene/Summary?g=ENSG00000175756", "ENSG00000175756")</f>
        <v>ENSG00000175756</v>
      </c>
      <c r="M814" s="12" t="s">
        <v>18295</v>
      </c>
      <c r="N814" s="12" t="s">
        <v>18296</v>
      </c>
    </row>
    <row r="815" spans="1:14">
      <c r="A815" s="12" t="s">
        <v>8521</v>
      </c>
      <c r="B815" s="8">
        <v>1336.4508207977201</v>
      </c>
      <c r="C815" s="12">
        <v>3219.0392932147302</v>
      </c>
      <c r="D815" s="8">
        <v>-1.26822343744318</v>
      </c>
      <c r="E815" s="12">
        <v>1.38925915915016E-3</v>
      </c>
      <c r="F815" s="8" t="s">
        <v>8522</v>
      </c>
      <c r="G815" s="12" t="s">
        <v>8523</v>
      </c>
      <c r="H815" s="12">
        <v>1</v>
      </c>
      <c r="I815" s="13" t="str">
        <f>HYPERLINK("http://www.ncbi.nlm.nih.gov/gene/51316", "51316")</f>
        <v>51316</v>
      </c>
      <c r="J815" s="12" t="s">
        <v>18866</v>
      </c>
      <c r="K815" s="12" t="s">
        <v>18867</v>
      </c>
      <c r="L815" s="13" t="str">
        <f>HYPERLINK("http://asia.ensembl.org/Homo_sapiens/Gene/Summary?g=ENSG00000145287", "ENSG00000145287")</f>
        <v>ENSG00000145287</v>
      </c>
      <c r="M815" s="12" t="s">
        <v>18868</v>
      </c>
      <c r="N815" s="12" t="s">
        <v>18869</v>
      </c>
    </row>
    <row r="816" spans="1:14">
      <c r="A816" s="12" t="s">
        <v>9499</v>
      </c>
      <c r="B816" s="8">
        <v>11149.4410584823</v>
      </c>
      <c r="C816" s="12">
        <v>26853.864032321399</v>
      </c>
      <c r="D816" s="8">
        <v>-1.2681583070759299</v>
      </c>
      <c r="E816" s="12">
        <v>1.99123894319112E-3</v>
      </c>
      <c r="F816" s="8" t="s">
        <v>1641</v>
      </c>
      <c r="G816" s="12" t="s">
        <v>1642</v>
      </c>
      <c r="H816" s="12">
        <v>1</v>
      </c>
      <c r="I816" s="13" t="str">
        <f>HYPERLINK("http://www.ncbi.nlm.nih.gov/gene/79144", "79144")</f>
        <v>79144</v>
      </c>
      <c r="J816" s="13" t="str">
        <f>HYPERLINK("http://www.ncbi.nlm.nih.gov/nuccore/NM_024299", "NM_024299")</f>
        <v>NM_024299</v>
      </c>
      <c r="K816" s="12" t="s">
        <v>1643</v>
      </c>
      <c r="L816" s="13" t="str">
        <f>HYPERLINK("http://asia.ensembl.org/Homo_sapiens/Gene/Summary?g=ENSG00000125534", "ENSG00000125534")</f>
        <v>ENSG00000125534</v>
      </c>
      <c r="M816" s="12" t="s">
        <v>19174</v>
      </c>
      <c r="N816" s="12" t="s">
        <v>19175</v>
      </c>
    </row>
    <row r="817" spans="1:14">
      <c r="A817" s="12" t="s">
        <v>9771</v>
      </c>
      <c r="B817" s="8">
        <v>898.437552264901</v>
      </c>
      <c r="C817" s="12">
        <v>2163.8984570511002</v>
      </c>
      <c r="D817" s="8">
        <v>-1.2681426660752699</v>
      </c>
      <c r="E817" s="12">
        <v>5.7713462323382304E-4</v>
      </c>
      <c r="F817" s="8" t="s">
        <v>9772</v>
      </c>
      <c r="G817" s="12" t="s">
        <v>9773</v>
      </c>
      <c r="H817" s="12">
        <v>1</v>
      </c>
      <c r="I817" s="13" t="str">
        <f>HYPERLINK("http://www.ncbi.nlm.nih.gov/gene/91120", "91120")</f>
        <v>91120</v>
      </c>
      <c r="J817" s="12" t="s">
        <v>19314</v>
      </c>
      <c r="K817" s="12" t="s">
        <v>19315</v>
      </c>
      <c r="L817" s="13" t="str">
        <f>HYPERLINK("http://asia.ensembl.org/Homo_sapiens/Gene/Summary?g=ENSG00000197124", "ENSG00000197124")</f>
        <v>ENSG00000197124</v>
      </c>
      <c r="M817" s="12" t="s">
        <v>19316</v>
      </c>
      <c r="N817" s="12" t="s">
        <v>19317</v>
      </c>
    </row>
    <row r="818" spans="1:14">
      <c r="A818" s="12" t="s">
        <v>5574</v>
      </c>
      <c r="B818" s="8">
        <v>77926.658671310201</v>
      </c>
      <c r="C818" s="12">
        <v>187573.712855836</v>
      </c>
      <c r="D818" s="8">
        <v>-1.26726879529987</v>
      </c>
      <c r="E818" s="12">
        <v>4.6396978681935398E-4</v>
      </c>
      <c r="F818" s="8" t="s">
        <v>5575</v>
      </c>
      <c r="G818" s="12" t="s">
        <v>286</v>
      </c>
      <c r="H818" s="12">
        <v>1</v>
      </c>
      <c r="I818" s="13" t="str">
        <f>HYPERLINK("http://www.ncbi.nlm.nih.gov/gene/4726", "4726")</f>
        <v>4726</v>
      </c>
      <c r="J818" s="13" t="str">
        <f>HYPERLINK("http://www.ncbi.nlm.nih.gov/nuccore/NM_004553", "NM_004553")</f>
        <v>NM_004553</v>
      </c>
      <c r="K818" s="12" t="s">
        <v>5576</v>
      </c>
      <c r="L818" s="13" t="str">
        <f>HYPERLINK("http://asia.ensembl.org/Homo_sapiens/Gene/Summary?g=ENSG00000145494", "ENSG00000145494")</f>
        <v>ENSG00000145494</v>
      </c>
      <c r="M818" s="12" t="s">
        <v>17905</v>
      </c>
      <c r="N818" s="12" t="s">
        <v>17906</v>
      </c>
    </row>
    <row r="819" spans="1:14">
      <c r="A819" s="12" t="s">
        <v>10307</v>
      </c>
      <c r="B819" s="8">
        <v>48189.547464361502</v>
      </c>
      <c r="C819" s="12">
        <v>115987.424577515</v>
      </c>
      <c r="D819" s="8">
        <v>-1.2671762377392</v>
      </c>
      <c r="E819" s="12">
        <v>3.2953777461550001E-3</v>
      </c>
      <c r="F819" s="8" t="s">
        <v>8070</v>
      </c>
      <c r="G819" s="12" t="s">
        <v>8071</v>
      </c>
      <c r="H819" s="12">
        <v>1</v>
      </c>
      <c r="I819" s="13" t="str">
        <f>HYPERLINK("http://www.ncbi.nlm.nih.gov/gene/23521", "23521")</f>
        <v>23521</v>
      </c>
      <c r="J819" s="12" t="s">
        <v>18715</v>
      </c>
      <c r="K819" s="12" t="s">
        <v>18716</v>
      </c>
      <c r="L819" s="13" t="str">
        <f>HYPERLINK("http://asia.ensembl.org/Homo_sapiens/Gene/Summary?g=ENSG00000142541", "ENSG00000142541")</f>
        <v>ENSG00000142541</v>
      </c>
      <c r="M819" s="12" t="s">
        <v>18717</v>
      </c>
      <c r="N819" s="12" t="s">
        <v>18718</v>
      </c>
    </row>
    <row r="820" spans="1:14">
      <c r="A820" s="12" t="s">
        <v>2325</v>
      </c>
      <c r="B820" s="8">
        <v>58.111530515616401</v>
      </c>
      <c r="C820" s="12">
        <v>139.83028158268101</v>
      </c>
      <c r="D820" s="8">
        <v>-1.2667804666000899</v>
      </c>
      <c r="E820" s="12">
        <v>2.8323102136320602E-4</v>
      </c>
      <c r="F820" s="8" t="s">
        <v>2326</v>
      </c>
      <c r="G820" s="12" t="s">
        <v>2327</v>
      </c>
      <c r="H820" s="12">
        <v>1</v>
      </c>
      <c r="I820" s="13" t="str">
        <f>HYPERLINK("http://www.ncbi.nlm.nih.gov/gene/147906", "147906")</f>
        <v>147906</v>
      </c>
      <c r="J820" s="13" t="str">
        <f>HYPERLINK("http://www.ncbi.nlm.nih.gov/nuccore/NM_145056", "NM_145056")</f>
        <v>NM_145056</v>
      </c>
      <c r="K820" s="12" t="s">
        <v>2328</v>
      </c>
      <c r="L820" s="13" t="str">
        <f>HYPERLINK("http://asia.ensembl.org/Homo_sapiens/Gene/Summary?g=ENSG00000197380", "ENSG00000197380")</f>
        <v>ENSG00000197380</v>
      </c>
      <c r="M820" s="12" t="s">
        <v>16972</v>
      </c>
      <c r="N820" s="12" t="s">
        <v>16973</v>
      </c>
    </row>
    <row r="821" spans="1:14">
      <c r="A821" s="12" t="s">
        <v>11192</v>
      </c>
      <c r="B821" s="8">
        <v>257.21713132526401</v>
      </c>
      <c r="C821" s="12">
        <v>618.92319120764398</v>
      </c>
      <c r="D821" s="8">
        <v>-1.26677364802279</v>
      </c>
      <c r="E821" s="12">
        <v>4.4074696186353103E-2</v>
      </c>
      <c r="F821" s="8" t="s">
        <v>7562</v>
      </c>
      <c r="G821" s="12" t="s">
        <v>12368</v>
      </c>
      <c r="H821" s="12">
        <v>1</v>
      </c>
      <c r="I821" s="13" t="str">
        <f>HYPERLINK("http://www.ncbi.nlm.nih.gov/gene/9229", "9229")</f>
        <v>9229</v>
      </c>
      <c r="J821" s="12" t="s">
        <v>20001</v>
      </c>
      <c r="K821" s="12" t="s">
        <v>20002</v>
      </c>
      <c r="L821" s="13" t="str">
        <f>HYPERLINK("http://asia.ensembl.org/Homo_sapiens/Gene/Summary?g=ENSG00000170579", "ENSG00000170579")</f>
        <v>ENSG00000170579</v>
      </c>
      <c r="M821" s="12" t="s">
        <v>20003</v>
      </c>
      <c r="N821" s="12" t="s">
        <v>20004</v>
      </c>
    </row>
    <row r="822" spans="1:14">
      <c r="A822" s="12" t="s">
        <v>669</v>
      </c>
      <c r="B822" s="8">
        <v>3402.0004436798899</v>
      </c>
      <c r="C822" s="12">
        <v>8185.7659544026601</v>
      </c>
      <c r="D822" s="8">
        <v>-1.2667340890015599</v>
      </c>
      <c r="E822" s="12">
        <v>6.5603931939319296E-4</v>
      </c>
      <c r="F822" s="8" t="s">
        <v>670</v>
      </c>
      <c r="G822" s="12" t="s">
        <v>671</v>
      </c>
      <c r="H822" s="12">
        <v>1</v>
      </c>
      <c r="I822" s="13" t="str">
        <f>HYPERLINK("http://www.ncbi.nlm.nih.gov/gene/79623", "79623")</f>
        <v>79623</v>
      </c>
      <c r="J822" s="12" t="s">
        <v>16411</v>
      </c>
      <c r="K822" s="12" t="s">
        <v>16412</v>
      </c>
      <c r="L822" s="13" t="str">
        <f>HYPERLINK("http://asia.ensembl.org/Homo_sapiens/Gene/Summary?g=ENSG00000158089", "ENSG00000158089")</f>
        <v>ENSG00000158089</v>
      </c>
      <c r="M822" s="12" t="s">
        <v>16413</v>
      </c>
      <c r="N822" s="12" t="s">
        <v>16414</v>
      </c>
    </row>
    <row r="823" spans="1:14">
      <c r="A823" s="12" t="s">
        <v>11808</v>
      </c>
      <c r="B823" s="8">
        <v>925.42263051398004</v>
      </c>
      <c r="C823" s="12">
        <v>2223.7618165079498</v>
      </c>
      <c r="D823" s="8">
        <v>-1.2648179871607099</v>
      </c>
      <c r="E823" s="12">
        <v>2.3231179481749899E-5</v>
      </c>
      <c r="F823" s="8" t="s">
        <v>11809</v>
      </c>
      <c r="G823" s="12" t="s">
        <v>11810</v>
      </c>
      <c r="H823" s="12">
        <v>1</v>
      </c>
      <c r="I823" s="13" t="str">
        <f>HYPERLINK("http://www.ncbi.nlm.nih.gov/gene/100874051", "100874051")</f>
        <v>100874051</v>
      </c>
      <c r="J823" s="13" t="str">
        <f>HYPERLINK("http://www.ncbi.nlm.nih.gov/nuccore/NR_047509", "NR_047509")</f>
        <v>NR_047509</v>
      </c>
      <c r="K823" s="12" t="s">
        <v>199</v>
      </c>
      <c r="L823" s="13" t="str">
        <f>HYPERLINK("http://asia.ensembl.org/Homo_sapiens/Gene/Summary?g=ENSG00000253733", "ENSG00000253733")</f>
        <v>ENSG00000253733</v>
      </c>
      <c r="M823" s="12" t="s">
        <v>11811</v>
      </c>
    </row>
    <row r="824" spans="1:14">
      <c r="A824" s="12" t="s">
        <v>2923</v>
      </c>
      <c r="B824" s="8">
        <v>12878.914488275101</v>
      </c>
      <c r="C824" s="12">
        <v>30936.3492242621</v>
      </c>
      <c r="D824" s="8">
        <v>-1.2642919558205701</v>
      </c>
      <c r="E824" s="12">
        <v>3.4733099900089099E-3</v>
      </c>
      <c r="F824" s="8" t="s">
        <v>2924</v>
      </c>
      <c r="G824" s="12" t="s">
        <v>2925</v>
      </c>
      <c r="H824" s="12">
        <v>1</v>
      </c>
      <c r="I824" s="13" t="str">
        <f>HYPERLINK("http://www.ncbi.nlm.nih.gov/gene/3052", "3052")</f>
        <v>3052</v>
      </c>
      <c r="J824" s="12" t="s">
        <v>17133</v>
      </c>
      <c r="K824" s="12" t="s">
        <v>17134</v>
      </c>
      <c r="L824" s="13" t="str">
        <f>HYPERLINK("http://asia.ensembl.org/Homo_sapiens/Gene/Summary?g=ENSG00000004961", "ENSG00000004961")</f>
        <v>ENSG00000004961</v>
      </c>
      <c r="M824" s="12" t="s">
        <v>17135</v>
      </c>
      <c r="N824" s="12" t="s">
        <v>17136</v>
      </c>
    </row>
    <row r="825" spans="1:14">
      <c r="A825" s="12" t="s">
        <v>10965</v>
      </c>
      <c r="B825" s="8">
        <v>11434.6480126144</v>
      </c>
      <c r="C825" s="12">
        <v>27459.936350082698</v>
      </c>
      <c r="D825" s="8">
        <v>-1.2639163248072101</v>
      </c>
      <c r="E825" s="12">
        <v>1.0678761720806101E-2</v>
      </c>
      <c r="F825" s="8" t="s">
        <v>10966</v>
      </c>
      <c r="G825" s="12" t="s">
        <v>10967</v>
      </c>
      <c r="H825" s="12">
        <v>1</v>
      </c>
      <c r="I825" s="13" t="str">
        <f>HYPERLINK("http://www.ncbi.nlm.nih.gov/gene/643246", "643246")</f>
        <v>643246</v>
      </c>
      <c r="J825" s="13" t="str">
        <f>HYPERLINK("http://www.ncbi.nlm.nih.gov/nuccore/NM_001085481", "NM_001085481")</f>
        <v>NM_001085481</v>
      </c>
      <c r="K825" s="12" t="s">
        <v>10968</v>
      </c>
      <c r="L825" s="13" t="str">
        <f>HYPERLINK("http://asia.ensembl.org/Homo_sapiens/Gene/Summary?g=ENSG00000258102", "ENSG00000258102")</f>
        <v>ENSG00000258102</v>
      </c>
      <c r="M825" s="12" t="s">
        <v>19917</v>
      </c>
      <c r="N825" s="12" t="s">
        <v>10969</v>
      </c>
    </row>
    <row r="826" spans="1:14">
      <c r="A826" s="12" t="s">
        <v>10988</v>
      </c>
      <c r="B826" s="8">
        <v>143.49214978915401</v>
      </c>
      <c r="C826" s="12">
        <v>344.57867850154702</v>
      </c>
      <c r="D826" s="8">
        <v>-1.2638616229945201</v>
      </c>
      <c r="E826" s="12">
        <v>4.8938764175461003E-2</v>
      </c>
      <c r="F826" s="8" t="s">
        <v>8889</v>
      </c>
      <c r="G826" s="12" t="s">
        <v>19920</v>
      </c>
      <c r="H826" s="12">
        <v>1</v>
      </c>
      <c r="I826" s="13" t="str">
        <f>HYPERLINK("http://www.ncbi.nlm.nih.gov/gene/22829", "22829")</f>
        <v>22829</v>
      </c>
      <c r="J826" s="13" t="str">
        <f>HYPERLINK("http://www.ncbi.nlm.nih.gov/nuccore/NM_001164238", "NM_001164238")</f>
        <v>NM_001164238</v>
      </c>
      <c r="K826" s="12" t="s">
        <v>10989</v>
      </c>
      <c r="L826" s="13" t="str">
        <f>HYPERLINK("http://asia.ensembl.org/Homo_sapiens/Gene/Summary?g=ENSG00000165246", "ENSG00000165246")</f>
        <v>ENSG00000165246</v>
      </c>
      <c r="M826" s="12" t="s">
        <v>19921</v>
      </c>
      <c r="N826" s="12" t="s">
        <v>19922</v>
      </c>
    </row>
    <row r="827" spans="1:14">
      <c r="A827" s="12" t="s">
        <v>10157</v>
      </c>
      <c r="B827" s="8">
        <v>5628.8896955684304</v>
      </c>
      <c r="C827" s="12">
        <v>13516.7653857842</v>
      </c>
      <c r="D827" s="8">
        <v>-1.26382766805976</v>
      </c>
      <c r="E827" s="12">
        <v>3.9016207308976499E-3</v>
      </c>
      <c r="F827" s="8" t="s">
        <v>10158</v>
      </c>
      <c r="G827" s="12" t="s">
        <v>10159</v>
      </c>
      <c r="H827" s="12">
        <v>1</v>
      </c>
      <c r="I827" s="13" t="str">
        <f>HYPERLINK("http://www.ncbi.nlm.nih.gov/gene/286223", "286223")</f>
        <v>286223</v>
      </c>
      <c r="J827" s="12" t="s">
        <v>19565</v>
      </c>
      <c r="K827" s="12" t="s">
        <v>19566</v>
      </c>
      <c r="L827" s="13" t="str">
        <f>HYPERLINK("http://asia.ensembl.org/Homo_sapiens/Gene/Summary?g=ENSG00000186354", "ENSG00000186354")</f>
        <v>ENSG00000186354</v>
      </c>
      <c r="M827" s="12" t="s">
        <v>19567</v>
      </c>
      <c r="N827" s="12" t="s">
        <v>19568</v>
      </c>
    </row>
    <row r="828" spans="1:14">
      <c r="A828" s="12" t="s">
        <v>8533</v>
      </c>
      <c r="B828" s="8">
        <v>55713.977614609503</v>
      </c>
      <c r="C828" s="12">
        <v>133725.448833387</v>
      </c>
      <c r="D828" s="8">
        <v>-1.2631628221245601</v>
      </c>
      <c r="E828" s="12">
        <v>1.4759928854665599E-4</v>
      </c>
      <c r="F828" s="8" t="s">
        <v>3992</v>
      </c>
      <c r="G828" s="12" t="s">
        <v>3993</v>
      </c>
      <c r="H828" s="12">
        <v>1</v>
      </c>
      <c r="I828" s="13" t="str">
        <f>HYPERLINK("http://www.ncbi.nlm.nih.gov/gene/54460", "54460")</f>
        <v>54460</v>
      </c>
      <c r="J828" s="12" t="s">
        <v>18882</v>
      </c>
      <c r="K828" s="12" t="s">
        <v>18883</v>
      </c>
      <c r="L828" s="13" t="str">
        <f>HYPERLINK("http://asia.ensembl.org/Homo_sapiens/Gene/Summary?g=ENSG00000266472", "ENSG00000266472")</f>
        <v>ENSG00000266472</v>
      </c>
      <c r="M828" s="12" t="s">
        <v>17509</v>
      </c>
      <c r="N828" s="12" t="s">
        <v>17510</v>
      </c>
    </row>
    <row r="829" spans="1:14">
      <c r="A829" s="12" t="s">
        <v>9337</v>
      </c>
      <c r="B829" s="8">
        <v>696.90697835385197</v>
      </c>
      <c r="C829" s="12">
        <v>1672.5067935007</v>
      </c>
      <c r="D829" s="8">
        <v>-1.2629740646919201</v>
      </c>
      <c r="E829" s="12">
        <v>5.2281499889559003E-3</v>
      </c>
      <c r="F829" s="8" t="s">
        <v>9338</v>
      </c>
      <c r="G829" s="12" t="s">
        <v>19129</v>
      </c>
      <c r="H829" s="12">
        <v>1</v>
      </c>
      <c r="I829" s="13" t="str">
        <f>HYPERLINK("http://www.ncbi.nlm.nih.gov/gene/163732", "163732")</f>
        <v>163732</v>
      </c>
      <c r="J829" s="13" t="str">
        <f>HYPERLINK("http://www.ncbi.nlm.nih.gov/nuccore/NM_133467", "NM_133467")</f>
        <v>NM_133467</v>
      </c>
      <c r="K829" s="12" t="s">
        <v>9339</v>
      </c>
      <c r="L829" s="13" t="str">
        <f>HYPERLINK("http://asia.ensembl.org/Homo_sapiens/Gene/Summary?g=ENSG00000179862", "ENSG00000179862")</f>
        <v>ENSG00000179862</v>
      </c>
      <c r="M829" s="12" t="s">
        <v>9340</v>
      </c>
      <c r="N829" s="12" t="s">
        <v>9341</v>
      </c>
    </row>
    <row r="830" spans="1:14">
      <c r="A830" s="12" t="s">
        <v>1047</v>
      </c>
      <c r="B830" s="8">
        <v>19619.918104342501</v>
      </c>
      <c r="C830" s="12">
        <v>47059.045931333902</v>
      </c>
      <c r="D830" s="8">
        <v>-1.2621530522518201</v>
      </c>
      <c r="E830" s="12">
        <v>2.7546043776368301E-3</v>
      </c>
      <c r="F830" s="8" t="s">
        <v>1048</v>
      </c>
      <c r="G830" s="12" t="s">
        <v>286</v>
      </c>
      <c r="H830" s="12">
        <v>1</v>
      </c>
      <c r="I830" s="13" t="str">
        <f>HYPERLINK("http://www.ncbi.nlm.nih.gov/gene/4702", "4702")</f>
        <v>4702</v>
      </c>
      <c r="J830" s="13" t="str">
        <f>HYPERLINK("http://www.ncbi.nlm.nih.gov/nuccore/NM_014222", "NM_014222")</f>
        <v>NM_014222</v>
      </c>
      <c r="K830" s="12" t="s">
        <v>1049</v>
      </c>
      <c r="L830" s="13" t="str">
        <f>HYPERLINK("http://asia.ensembl.org/Homo_sapiens/Gene/Summary?g=ENSG00000119421", "ENSG00000119421")</f>
        <v>ENSG00000119421</v>
      </c>
      <c r="M830" s="12" t="s">
        <v>1050</v>
      </c>
      <c r="N830" s="12" t="s">
        <v>1051</v>
      </c>
    </row>
    <row r="831" spans="1:14">
      <c r="A831" s="12" t="s">
        <v>7234</v>
      </c>
      <c r="B831" s="8">
        <v>60054.9165054798</v>
      </c>
      <c r="C831" s="12">
        <v>144022.81001548099</v>
      </c>
      <c r="D831" s="8">
        <v>-1.2619430558826801</v>
      </c>
      <c r="E831" s="12">
        <v>5.1987589308905204E-3</v>
      </c>
      <c r="F831" s="8" t="s">
        <v>7235</v>
      </c>
      <c r="G831" s="12" t="s">
        <v>7236</v>
      </c>
      <c r="H831" s="12">
        <v>1</v>
      </c>
      <c r="I831" s="13" t="str">
        <f>HYPERLINK("http://www.ncbi.nlm.nih.gov/gene/1349", "1349")</f>
        <v>1349</v>
      </c>
      <c r="J831" s="13" t="str">
        <f>HYPERLINK("http://www.ncbi.nlm.nih.gov/nuccore/NM_001866", "NM_001866")</f>
        <v>NM_001866</v>
      </c>
      <c r="K831" s="12" t="s">
        <v>7237</v>
      </c>
      <c r="L831" s="13" t="str">
        <f>HYPERLINK("http://asia.ensembl.org/Homo_sapiens/Gene/Summary?g=ENSG00000131174", "ENSG00000131174")</f>
        <v>ENSG00000131174</v>
      </c>
      <c r="M831" s="12" t="s">
        <v>18442</v>
      </c>
      <c r="N831" s="12" t="s">
        <v>7238</v>
      </c>
    </row>
    <row r="832" spans="1:14">
      <c r="A832" s="12" t="s">
        <v>6712</v>
      </c>
      <c r="B832" s="8">
        <v>416.044237417408</v>
      </c>
      <c r="C832" s="12">
        <v>997.38018933291903</v>
      </c>
      <c r="D832" s="8">
        <v>-1.2614066111415101</v>
      </c>
      <c r="E832" s="12">
        <v>2.8672985740363699E-2</v>
      </c>
      <c r="F832" s="8" t="s">
        <v>6713</v>
      </c>
      <c r="G832" s="12" t="s">
        <v>6714</v>
      </c>
      <c r="H832" s="12">
        <v>1</v>
      </c>
      <c r="I832" s="13" t="str">
        <f>HYPERLINK("http://www.ncbi.nlm.nih.gov/gene/4337", "4337")</f>
        <v>4337</v>
      </c>
      <c r="J832" s="13" t="str">
        <f>HYPERLINK("http://www.ncbi.nlm.nih.gov/nuccore/NM_005943", "NM_005943")</f>
        <v>NM_005943</v>
      </c>
      <c r="K832" s="12" t="s">
        <v>6715</v>
      </c>
      <c r="L832" s="13" t="str">
        <f>HYPERLINK("http://asia.ensembl.org/Homo_sapiens/Gene/Summary?g=ENSG00000124615", "ENSG00000124615")</f>
        <v>ENSG00000124615</v>
      </c>
      <c r="M832" s="12" t="s">
        <v>18237</v>
      </c>
      <c r="N832" s="12" t="s">
        <v>18238</v>
      </c>
    </row>
    <row r="833" spans="1:14">
      <c r="A833" s="12" t="s">
        <v>7177</v>
      </c>
      <c r="B833" s="8">
        <v>144704.28724756499</v>
      </c>
      <c r="C833" s="12">
        <v>346871.020955113</v>
      </c>
      <c r="D833" s="8">
        <v>-1.26129165076421</v>
      </c>
      <c r="E833" s="12">
        <v>1.9403282078681101E-2</v>
      </c>
      <c r="F833" s="8" t="s">
        <v>7178</v>
      </c>
      <c r="G833" s="12" t="s">
        <v>7179</v>
      </c>
      <c r="H833" s="12">
        <v>1</v>
      </c>
      <c r="I833" s="13" t="str">
        <f>HYPERLINK("http://www.ncbi.nlm.nih.gov/gene/6228", "6228")</f>
        <v>6228</v>
      </c>
      <c r="J833" s="13" t="str">
        <f>HYPERLINK("http://www.ncbi.nlm.nih.gov/nuccore/NM_001025", "NM_001025")</f>
        <v>NM_001025</v>
      </c>
      <c r="K833" s="12" t="s">
        <v>7180</v>
      </c>
      <c r="L833" s="13" t="str">
        <f>HYPERLINK("http://asia.ensembl.org/Homo_sapiens/Gene/Summary?g=ENSG00000186468", "ENSG00000186468")</f>
        <v>ENSG00000186468</v>
      </c>
      <c r="M833" s="12" t="s">
        <v>18400</v>
      </c>
      <c r="N833" s="12" t="s">
        <v>18401</v>
      </c>
    </row>
    <row r="834" spans="1:14">
      <c r="A834" s="12" t="s">
        <v>4228</v>
      </c>
      <c r="B834" s="8">
        <v>7890.1835436739902</v>
      </c>
      <c r="C834" s="12">
        <v>18903.0223430433</v>
      </c>
      <c r="D834" s="8">
        <v>-1.2604861546075099</v>
      </c>
      <c r="E834" s="12">
        <v>1.76651842226784E-3</v>
      </c>
      <c r="F834" s="8" t="s">
        <v>4229</v>
      </c>
      <c r="G834" s="12" t="s">
        <v>4230</v>
      </c>
      <c r="H834" s="12">
        <v>1</v>
      </c>
      <c r="I834" s="13" t="str">
        <f>HYPERLINK("http://www.ncbi.nlm.nih.gov/gene/51659", "51659")</f>
        <v>51659</v>
      </c>
      <c r="J834" s="13" t="str">
        <f>HYPERLINK("http://www.ncbi.nlm.nih.gov/nuccore/NM_016095", "NM_016095")</f>
        <v>NM_016095</v>
      </c>
      <c r="K834" s="12" t="s">
        <v>4231</v>
      </c>
      <c r="L834" s="13" t="str">
        <f>HYPERLINK("http://asia.ensembl.org/Homo_sapiens/Gene/Summary?g=ENSG00000131153", "ENSG00000131153")</f>
        <v>ENSG00000131153</v>
      </c>
      <c r="M834" s="12" t="s">
        <v>17619</v>
      </c>
      <c r="N834" s="12" t="s">
        <v>17620</v>
      </c>
    </row>
    <row r="835" spans="1:14">
      <c r="A835" s="12" t="s">
        <v>11524</v>
      </c>
      <c r="B835" s="8">
        <v>151364.74132766301</v>
      </c>
      <c r="C835" s="12">
        <v>362585.24442596699</v>
      </c>
      <c r="D835" s="8">
        <v>-1.26029102986315</v>
      </c>
      <c r="E835" s="12">
        <v>5.6281657372863302E-3</v>
      </c>
      <c r="F835" s="8" t="s">
        <v>11525</v>
      </c>
      <c r="G835" s="12" t="s">
        <v>11526</v>
      </c>
      <c r="H835" s="12">
        <v>1</v>
      </c>
      <c r="I835" s="13" t="str">
        <f>HYPERLINK("http://www.ncbi.nlm.nih.gov/gene/51142", "51142")</f>
        <v>51142</v>
      </c>
      <c r="J835" s="13" t="str">
        <f>HYPERLINK("http://www.ncbi.nlm.nih.gov/nuccore/NM_016139", "NM_016139")</f>
        <v>NM_016139</v>
      </c>
      <c r="K835" s="12" t="s">
        <v>11527</v>
      </c>
      <c r="L835" s="13" t="str">
        <f>HYPERLINK("http://asia.ensembl.org/Homo_sapiens/Gene/Summary?g=ENSG00000106153", "ENSG00000106153")</f>
        <v>ENSG00000106153</v>
      </c>
      <c r="M835" s="12" t="s">
        <v>20133</v>
      </c>
      <c r="N835" s="12" t="s">
        <v>11528</v>
      </c>
    </row>
    <row r="836" spans="1:14">
      <c r="A836" s="12" t="s">
        <v>11741</v>
      </c>
      <c r="B836" s="8">
        <v>2134.40206525538</v>
      </c>
      <c r="C836" s="12">
        <v>5112.6812653554398</v>
      </c>
      <c r="D836" s="8">
        <v>-1.26024812077807</v>
      </c>
      <c r="E836" s="12">
        <v>4.3601658740123199E-4</v>
      </c>
      <c r="F836" s="8" t="s">
        <v>38</v>
      </c>
      <c r="G836" s="12" t="s">
        <v>38</v>
      </c>
      <c r="H836" s="12">
        <v>1</v>
      </c>
      <c r="I836" s="12" t="s">
        <v>38</v>
      </c>
      <c r="J836" s="12" t="s">
        <v>38</v>
      </c>
      <c r="K836" s="12" t="s">
        <v>38</v>
      </c>
      <c r="L836" s="13" t="str">
        <f>HYPERLINK("http://asia.ensembl.org/Homo_sapiens/Gene/Summary?g=ENSG00000268193", "ENSG00000268193")</f>
        <v>ENSG00000268193</v>
      </c>
      <c r="M836" s="12" t="s">
        <v>11742</v>
      </c>
      <c r="N836" s="12" t="s">
        <v>11743</v>
      </c>
    </row>
    <row r="837" spans="1:14">
      <c r="A837" s="12" t="s">
        <v>2114</v>
      </c>
      <c r="B837" s="8">
        <v>1636.73607271695</v>
      </c>
      <c r="C837" s="12">
        <v>3918.97992820429</v>
      </c>
      <c r="D837" s="8">
        <v>-1.2596564810981501</v>
      </c>
      <c r="E837" s="12">
        <v>1.46275344459259E-3</v>
      </c>
      <c r="F837" s="8" t="s">
        <v>2115</v>
      </c>
      <c r="G837" s="12" t="s">
        <v>2116</v>
      </c>
      <c r="H837" s="12">
        <v>1</v>
      </c>
      <c r="I837" s="13" t="str">
        <f>HYPERLINK("http://www.ncbi.nlm.nih.gov/gene/50855", "50855")</f>
        <v>50855</v>
      </c>
      <c r="J837" s="12" t="s">
        <v>16934</v>
      </c>
      <c r="K837" s="12" t="s">
        <v>16935</v>
      </c>
      <c r="L837" s="13" t="str">
        <f>HYPERLINK("http://asia.ensembl.org/Homo_sapiens/Gene/Summary?g=ENSG00000102981", "ENSG00000102981")</f>
        <v>ENSG00000102981</v>
      </c>
      <c r="M837" s="12" t="s">
        <v>16936</v>
      </c>
      <c r="N837" s="12" t="s">
        <v>16937</v>
      </c>
    </row>
    <row r="838" spans="1:14">
      <c r="A838" s="12" t="s">
        <v>11317</v>
      </c>
      <c r="B838" s="8">
        <v>4797.2558298936501</v>
      </c>
      <c r="C838" s="12">
        <v>11486.2112745908</v>
      </c>
      <c r="D838" s="8">
        <v>-1.2596217203676401</v>
      </c>
      <c r="E838" s="12">
        <v>6.2272741977309103E-3</v>
      </c>
      <c r="F838" s="8" t="s">
        <v>4951</v>
      </c>
      <c r="G838" s="12" t="s">
        <v>4952</v>
      </c>
      <c r="H838" s="12">
        <v>1</v>
      </c>
      <c r="I838" s="13" t="str">
        <f>HYPERLINK("http://www.ncbi.nlm.nih.gov/gene/23261", "23261")</f>
        <v>23261</v>
      </c>
      <c r="J838" s="12" t="s">
        <v>20062</v>
      </c>
      <c r="K838" s="12" t="s">
        <v>20063</v>
      </c>
      <c r="L838" s="13" t="str">
        <f>HYPERLINK("http://asia.ensembl.org/Homo_sapiens/Gene/Summary?g=ENSG00000171735", "ENSG00000171735")</f>
        <v>ENSG00000171735</v>
      </c>
      <c r="M838" s="12" t="s">
        <v>20064</v>
      </c>
      <c r="N838" s="12" t="s">
        <v>20065</v>
      </c>
    </row>
    <row r="839" spans="1:14">
      <c r="A839" s="12" t="s">
        <v>1137</v>
      </c>
      <c r="B839" s="8">
        <v>88.937235256472505</v>
      </c>
      <c r="C839" s="12">
        <v>212.78978216585401</v>
      </c>
      <c r="D839" s="8">
        <v>-1.25856941430994</v>
      </c>
      <c r="E839" s="12">
        <v>4.0617090171125997E-2</v>
      </c>
      <c r="F839" s="8" t="s">
        <v>1138</v>
      </c>
      <c r="G839" s="12" t="s">
        <v>1139</v>
      </c>
      <c r="H839" s="12">
        <v>1</v>
      </c>
      <c r="I839" s="13" t="str">
        <f>HYPERLINK("http://www.ncbi.nlm.nih.gov/gene/796", "796")</f>
        <v>796</v>
      </c>
      <c r="J839" s="12" t="s">
        <v>16517</v>
      </c>
      <c r="K839" s="12" t="s">
        <v>16518</v>
      </c>
      <c r="L839" s="13" t="str">
        <f>HYPERLINK("http://asia.ensembl.org/Homo_sapiens/Gene/Summary?g=ENSG00000110680", "ENSG00000110680")</f>
        <v>ENSG00000110680</v>
      </c>
      <c r="M839" s="12" t="s">
        <v>16519</v>
      </c>
      <c r="N839" s="12" t="s">
        <v>16520</v>
      </c>
    </row>
    <row r="840" spans="1:14">
      <c r="A840" s="12" t="s">
        <v>7252</v>
      </c>
      <c r="B840" s="8">
        <v>109684.9082697</v>
      </c>
      <c r="C840" s="12">
        <v>262428.57254109898</v>
      </c>
      <c r="D840" s="8">
        <v>-1.2585597688269301</v>
      </c>
      <c r="E840" s="12">
        <v>5.1992727784515198E-3</v>
      </c>
      <c r="F840" s="8" t="s">
        <v>7253</v>
      </c>
      <c r="G840" s="12" t="s">
        <v>7254</v>
      </c>
      <c r="H840" s="12">
        <v>1</v>
      </c>
      <c r="I840" s="13" t="str">
        <f>HYPERLINK("http://www.ncbi.nlm.nih.gov/gene/6218", "6218")</f>
        <v>6218</v>
      </c>
      <c r="J840" s="13" t="str">
        <f>HYPERLINK("http://www.ncbi.nlm.nih.gov/nuccore/NM_001021", "NM_001021")</f>
        <v>NM_001021</v>
      </c>
      <c r="K840" s="12" t="s">
        <v>7255</v>
      </c>
      <c r="L840" s="13" t="str">
        <f>HYPERLINK("http://asia.ensembl.org/Homo_sapiens/Gene/Summary?g=ENSG00000278229", "ENSG00000278229")</f>
        <v>ENSG00000278229</v>
      </c>
      <c r="M840" s="12" t="s">
        <v>18449</v>
      </c>
      <c r="N840" s="12" t="s">
        <v>18450</v>
      </c>
    </row>
    <row r="841" spans="1:14">
      <c r="A841" s="12" t="s">
        <v>4424</v>
      </c>
      <c r="B841" s="8">
        <v>12679.042398341</v>
      </c>
      <c r="C841" s="12">
        <v>30333.919440859299</v>
      </c>
      <c r="D841" s="8">
        <v>-1.2584861322840999</v>
      </c>
      <c r="E841" s="12">
        <v>1.25936601110962E-3</v>
      </c>
      <c r="F841" s="8" t="s">
        <v>4425</v>
      </c>
      <c r="G841" s="12" t="s">
        <v>4426</v>
      </c>
      <c r="H841" s="12">
        <v>1</v>
      </c>
      <c r="I841" s="13" t="str">
        <f>HYPERLINK("http://www.ncbi.nlm.nih.gov/gene/7105", "7105")</f>
        <v>7105</v>
      </c>
      <c r="J841" s="13" t="str">
        <f>HYPERLINK("http://www.ncbi.nlm.nih.gov/nuccore/NM_003270", "NM_003270")</f>
        <v>NM_003270</v>
      </c>
      <c r="K841" s="12" t="s">
        <v>4427</v>
      </c>
      <c r="L841" s="13" t="str">
        <f>HYPERLINK("http://asia.ensembl.org/Homo_sapiens/Gene/Summary?g=ENSG00000000003", "ENSG00000000003")</f>
        <v>ENSG00000000003</v>
      </c>
      <c r="M841" s="12" t="s">
        <v>17683</v>
      </c>
      <c r="N841" s="12" t="s">
        <v>17684</v>
      </c>
    </row>
    <row r="842" spans="1:14">
      <c r="A842" s="12" t="s">
        <v>7580</v>
      </c>
      <c r="B842" s="8">
        <v>6087.8338946379299</v>
      </c>
      <c r="C842" s="12">
        <v>14561.977527184599</v>
      </c>
      <c r="D842" s="8">
        <v>-1.2582053870432099</v>
      </c>
      <c r="E842" s="12">
        <v>3.2490281493276199E-3</v>
      </c>
      <c r="F842" s="8" t="s">
        <v>7581</v>
      </c>
      <c r="G842" s="12" t="s">
        <v>18579</v>
      </c>
      <c r="H842" s="12">
        <v>4</v>
      </c>
      <c r="I842" s="12" t="s">
        <v>7582</v>
      </c>
      <c r="J842" s="12" t="s">
        <v>18580</v>
      </c>
      <c r="K842" s="12" t="s">
        <v>18581</v>
      </c>
      <c r="L842" s="12" t="s">
        <v>7583</v>
      </c>
      <c r="M842" s="12" t="s">
        <v>18582</v>
      </c>
      <c r="N842" s="12" t="s">
        <v>18583</v>
      </c>
    </row>
    <row r="843" spans="1:14">
      <c r="A843" s="12" t="s">
        <v>1403</v>
      </c>
      <c r="B843" s="8">
        <v>38225.754844092502</v>
      </c>
      <c r="C843" s="12">
        <v>91380.303241886097</v>
      </c>
      <c r="D843" s="8">
        <v>-1.25733823930962</v>
      </c>
      <c r="E843" s="12">
        <v>7.9462195715379203E-3</v>
      </c>
      <c r="F843" s="8" t="s">
        <v>1404</v>
      </c>
      <c r="G843" s="12" t="s">
        <v>1405</v>
      </c>
      <c r="H843" s="12">
        <v>1</v>
      </c>
      <c r="I843" s="13" t="str">
        <f>HYPERLINK("http://www.ncbi.nlm.nih.gov/gene/1347", "1347")</f>
        <v>1347</v>
      </c>
      <c r="J843" s="12" t="s">
        <v>16617</v>
      </c>
      <c r="K843" s="12" t="s">
        <v>16618</v>
      </c>
      <c r="L843" s="13" t="str">
        <f>HYPERLINK("http://asia.ensembl.org/Homo_sapiens/Gene/Summary?g=ENSG00000112695", "ENSG00000112695")</f>
        <v>ENSG00000112695</v>
      </c>
      <c r="M843" s="12" t="s">
        <v>16619</v>
      </c>
      <c r="N843" s="12" t="s">
        <v>16620</v>
      </c>
    </row>
    <row r="844" spans="1:14">
      <c r="A844" s="12" t="s">
        <v>7042</v>
      </c>
      <c r="B844" s="8">
        <v>5339.6652851040999</v>
      </c>
      <c r="C844" s="12">
        <v>12764.646995298999</v>
      </c>
      <c r="D844" s="8">
        <v>-1.2573324256798999</v>
      </c>
      <c r="E844" s="12">
        <v>1.91425133150531E-3</v>
      </c>
      <c r="F844" s="8" t="s">
        <v>7043</v>
      </c>
      <c r="G844" s="12" t="s">
        <v>18346</v>
      </c>
      <c r="H844" s="12">
        <v>4</v>
      </c>
      <c r="I844" s="12" t="s">
        <v>7044</v>
      </c>
      <c r="J844" s="12" t="s">
        <v>18347</v>
      </c>
      <c r="K844" s="12" t="s">
        <v>18348</v>
      </c>
      <c r="L844" s="12" t="s">
        <v>7045</v>
      </c>
      <c r="M844" s="12" t="s">
        <v>18349</v>
      </c>
      <c r="N844" s="12" t="s">
        <v>18350</v>
      </c>
    </row>
    <row r="845" spans="1:14">
      <c r="A845" s="12" t="s">
        <v>8326</v>
      </c>
      <c r="B845" s="8">
        <v>15349.1395678593</v>
      </c>
      <c r="C845" s="12">
        <v>36689.071757466401</v>
      </c>
      <c r="D845" s="8">
        <v>-1.2571926203126</v>
      </c>
      <c r="E845" s="12">
        <v>1.4040555080281499E-3</v>
      </c>
      <c r="F845" s="8" t="s">
        <v>337</v>
      </c>
      <c r="G845" s="12" t="s">
        <v>16311</v>
      </c>
      <c r="H845" s="12">
        <v>1</v>
      </c>
      <c r="I845" s="13" t="str">
        <f>HYPERLINK("http://www.ncbi.nlm.nih.gov/gene/5050", "5050")</f>
        <v>5050</v>
      </c>
      <c r="J845" s="12" t="s">
        <v>16312</v>
      </c>
      <c r="K845" s="12" t="s">
        <v>16313</v>
      </c>
      <c r="L845" s="13" t="str">
        <f>HYPERLINK("http://asia.ensembl.org/Homo_sapiens/Gene/Summary?g=ENSG00000079462", "ENSG00000079462")</f>
        <v>ENSG00000079462</v>
      </c>
      <c r="M845" s="12" t="s">
        <v>16314</v>
      </c>
      <c r="N845" s="12" t="s">
        <v>16315</v>
      </c>
    </row>
    <row r="846" spans="1:14">
      <c r="A846" s="12" t="s">
        <v>7808</v>
      </c>
      <c r="B846" s="8">
        <v>50656.196084258503</v>
      </c>
      <c r="C846" s="12">
        <v>121029.271902758</v>
      </c>
      <c r="D846" s="8">
        <v>-1.2565453668839699</v>
      </c>
      <c r="E846" s="12">
        <v>4.9448131016368397E-3</v>
      </c>
      <c r="F846" s="8" t="s">
        <v>6705</v>
      </c>
      <c r="G846" s="12" t="s">
        <v>6706</v>
      </c>
      <c r="H846" s="12">
        <v>1</v>
      </c>
      <c r="I846" s="13" t="str">
        <f>HYPERLINK("http://www.ncbi.nlm.nih.gov/gene/64960", "64960")</f>
        <v>64960</v>
      </c>
      <c r="J846" s="13" t="str">
        <f>HYPERLINK("http://www.ncbi.nlm.nih.gov/nuccore/NM_031280", "NM_031280")</f>
        <v>NM_031280</v>
      </c>
      <c r="K846" s="12" t="s">
        <v>6707</v>
      </c>
      <c r="L846" s="13" t="str">
        <f>HYPERLINK("http://asia.ensembl.org/Homo_sapiens/Gene/Summary?g=ENSG00000116898", "ENSG00000116898")</f>
        <v>ENSG00000116898</v>
      </c>
      <c r="M846" s="12" t="s">
        <v>18236</v>
      </c>
      <c r="N846" s="12" t="s">
        <v>6708</v>
      </c>
    </row>
    <row r="847" spans="1:14">
      <c r="A847" s="12" t="s">
        <v>6899</v>
      </c>
      <c r="B847" s="8">
        <v>79983.450610788699</v>
      </c>
      <c r="C847" s="12">
        <v>191049.891425257</v>
      </c>
      <c r="D847" s="8">
        <v>-1.2561760100866901</v>
      </c>
      <c r="E847" s="12">
        <v>7.3748476261795799E-3</v>
      </c>
      <c r="F847" s="8" t="s">
        <v>6900</v>
      </c>
      <c r="G847" s="12" t="s">
        <v>6901</v>
      </c>
      <c r="H847" s="12">
        <v>1</v>
      </c>
      <c r="I847" s="13" t="str">
        <f>HYPERLINK("http://www.ncbi.nlm.nih.gov/gene/3315", "3315")</f>
        <v>3315</v>
      </c>
      <c r="J847" s="13" t="str">
        <f>HYPERLINK("http://www.ncbi.nlm.nih.gov/nuccore/NM_001540", "NM_001540")</f>
        <v>NM_001540</v>
      </c>
      <c r="K847" s="12" t="s">
        <v>6902</v>
      </c>
      <c r="L847" s="13" t="str">
        <f>HYPERLINK("http://asia.ensembl.org/Homo_sapiens/Gene/Summary?g=ENSG00000106211", "ENSG00000106211")</f>
        <v>ENSG00000106211</v>
      </c>
      <c r="M847" s="12" t="s">
        <v>18291</v>
      </c>
      <c r="N847" s="12" t="s">
        <v>18292</v>
      </c>
    </row>
    <row r="848" spans="1:14">
      <c r="A848" s="12" t="s">
        <v>9198</v>
      </c>
      <c r="B848" s="8">
        <v>1312.74695326858</v>
      </c>
      <c r="C848" s="12">
        <v>3135.58981182557</v>
      </c>
      <c r="D848" s="8">
        <v>-1.25614799554287</v>
      </c>
      <c r="E848" s="12">
        <v>1.75501699370846E-3</v>
      </c>
      <c r="F848" s="8" t="s">
        <v>9199</v>
      </c>
      <c r="G848" s="12" t="s">
        <v>9200</v>
      </c>
      <c r="H848" s="12">
        <v>1</v>
      </c>
      <c r="I848" s="13" t="str">
        <f>HYPERLINK("http://www.ncbi.nlm.nih.gov/gene/2230", "2230")</f>
        <v>2230</v>
      </c>
      <c r="J848" s="13" t="str">
        <f>HYPERLINK("http://www.ncbi.nlm.nih.gov/nuccore/NM_004109", "NM_004109")</f>
        <v>NM_004109</v>
      </c>
      <c r="K848" s="12" t="s">
        <v>9201</v>
      </c>
      <c r="L848" s="13" t="str">
        <f>HYPERLINK("http://asia.ensembl.org/Homo_sapiens/Gene/Summary?g=ENSG00000137714", "ENSG00000137714")</f>
        <v>ENSG00000137714</v>
      </c>
      <c r="M848" s="12" t="s">
        <v>9202</v>
      </c>
      <c r="N848" s="12" t="s">
        <v>9203</v>
      </c>
    </row>
    <row r="849" spans="1:14">
      <c r="A849" s="12" t="s">
        <v>7377</v>
      </c>
      <c r="B849" s="8">
        <v>85.792613941998496</v>
      </c>
      <c r="C849" s="12">
        <v>204.91746844503899</v>
      </c>
      <c r="D849" s="8">
        <v>-1.2561176202511399</v>
      </c>
      <c r="E849" s="12">
        <v>2.0577458840085199E-2</v>
      </c>
      <c r="F849" s="8" t="s">
        <v>269</v>
      </c>
      <c r="G849" s="12" t="s">
        <v>18494</v>
      </c>
      <c r="H849" s="12">
        <v>1</v>
      </c>
      <c r="I849" s="13" t="str">
        <f>HYPERLINK("http://www.ncbi.nlm.nih.gov/gene/9535", "9535")</f>
        <v>9535</v>
      </c>
      <c r="J849" s="13" t="str">
        <f>HYPERLINK("http://www.ncbi.nlm.nih.gov/nuccore/NM_004877", "NM_004877")</f>
        <v>NM_004877</v>
      </c>
      <c r="K849" s="12" t="s">
        <v>270</v>
      </c>
      <c r="L849" s="13" t="str">
        <f>HYPERLINK("http://asia.ensembl.org/Homo_sapiens/Gene/Summary?g=ENSG00000130755", "ENSG00000130755")</f>
        <v>ENSG00000130755</v>
      </c>
      <c r="M849" s="12" t="s">
        <v>18495</v>
      </c>
      <c r="N849" s="12" t="s">
        <v>18496</v>
      </c>
    </row>
    <row r="850" spans="1:14">
      <c r="A850" s="12" t="s">
        <v>8062</v>
      </c>
      <c r="B850" s="8">
        <v>38687.088700279201</v>
      </c>
      <c r="C850" s="12">
        <v>92395.254549636898</v>
      </c>
      <c r="D850" s="8">
        <v>-1.25596658978394</v>
      </c>
      <c r="E850" s="12">
        <v>9.35380104806003E-3</v>
      </c>
      <c r="F850" s="8" t="s">
        <v>8063</v>
      </c>
      <c r="G850" s="12" t="s">
        <v>8064</v>
      </c>
      <c r="H850" s="12">
        <v>4</v>
      </c>
      <c r="I850" s="12" t="s">
        <v>8065</v>
      </c>
      <c r="J850" s="12" t="s">
        <v>8066</v>
      </c>
      <c r="K850" s="12" t="s">
        <v>8067</v>
      </c>
      <c r="L850" s="12" t="s">
        <v>8068</v>
      </c>
      <c r="M850" s="12" t="s">
        <v>18713</v>
      </c>
      <c r="N850" s="12" t="s">
        <v>18714</v>
      </c>
    </row>
    <row r="851" spans="1:14">
      <c r="A851" s="12" t="s">
        <v>8794</v>
      </c>
      <c r="B851" s="8">
        <v>4260.7264084046501</v>
      </c>
      <c r="C851" s="12">
        <v>10175.7632721624</v>
      </c>
      <c r="D851" s="8">
        <v>-1.2559656927776299</v>
      </c>
      <c r="E851" s="12">
        <v>2.6840711766793301E-3</v>
      </c>
      <c r="F851" s="8" t="s">
        <v>7813</v>
      </c>
      <c r="G851" s="12" t="s">
        <v>7814</v>
      </c>
      <c r="H851" s="12">
        <v>1</v>
      </c>
      <c r="I851" s="13" t="str">
        <f>HYPERLINK("http://www.ncbi.nlm.nih.gov/gene/65991", "65991")</f>
        <v>65991</v>
      </c>
      <c r="J851" s="13" t="str">
        <f>HYPERLINK("http://www.ncbi.nlm.nih.gov/nuccore/NM_023934", "NM_023934")</f>
        <v>NM_023934</v>
      </c>
      <c r="K851" s="12" t="s">
        <v>7815</v>
      </c>
      <c r="L851" s="13" t="str">
        <f>HYPERLINK("http://asia.ensembl.org/Homo_sapiens/Gene/Summary?g=ENSG00000165775", "ENSG00000165775")</f>
        <v>ENSG00000165775</v>
      </c>
      <c r="M851" s="12" t="s">
        <v>18386</v>
      </c>
      <c r="N851" s="12" t="s">
        <v>18387</v>
      </c>
    </row>
    <row r="852" spans="1:14">
      <c r="A852" s="12" t="s">
        <v>8550</v>
      </c>
      <c r="B852" s="8">
        <v>11102.034756455399</v>
      </c>
      <c r="C852" s="12">
        <v>26510.313219334901</v>
      </c>
      <c r="D852" s="8">
        <v>-1.2557296009713499</v>
      </c>
      <c r="E852" s="12">
        <v>1.0297090818648499E-3</v>
      </c>
      <c r="F852" s="8" t="s">
        <v>4121</v>
      </c>
      <c r="G852" s="12" t="s">
        <v>17567</v>
      </c>
      <c r="H852" s="12">
        <v>1</v>
      </c>
      <c r="I852" s="13" t="str">
        <f>HYPERLINK("http://www.ncbi.nlm.nih.gov/gene/55845", "55845")</f>
        <v>55845</v>
      </c>
      <c r="J852" s="13" t="str">
        <f>HYPERLINK("http://www.ncbi.nlm.nih.gov/nuccore/NM_018462", "NM_018462")</f>
        <v>NM_018462</v>
      </c>
      <c r="K852" s="12" t="s">
        <v>4122</v>
      </c>
      <c r="L852" s="13" t="str">
        <f>HYPERLINK("http://asia.ensembl.org/Homo_sapiens/Gene/Summary?g=ENSG00000254999", "ENSG00000254999")</f>
        <v>ENSG00000254999</v>
      </c>
      <c r="M852" s="12" t="s">
        <v>4123</v>
      </c>
      <c r="N852" s="12" t="s">
        <v>4124</v>
      </c>
    </row>
    <row r="853" spans="1:14">
      <c r="A853" s="12" t="s">
        <v>10018</v>
      </c>
      <c r="B853" s="8">
        <v>159861.58403248299</v>
      </c>
      <c r="C853" s="12">
        <v>381708.029233824</v>
      </c>
      <c r="D853" s="8">
        <v>-1.2556462442240499</v>
      </c>
      <c r="E853" s="12">
        <v>3.5650847403022302E-3</v>
      </c>
      <c r="F853" s="8" t="s">
        <v>7010</v>
      </c>
      <c r="G853" s="12" t="s">
        <v>7011</v>
      </c>
      <c r="H853" s="12">
        <v>1</v>
      </c>
      <c r="I853" s="13" t="str">
        <f>HYPERLINK("http://www.ncbi.nlm.nih.gov/gene/1337", "1337")</f>
        <v>1337</v>
      </c>
      <c r="J853" s="13" t="str">
        <f>HYPERLINK("http://www.ncbi.nlm.nih.gov/nuccore/NM_004373", "NM_004373")</f>
        <v>NM_004373</v>
      </c>
      <c r="K853" s="12" t="s">
        <v>7012</v>
      </c>
      <c r="L853" s="13" t="str">
        <f>HYPERLINK("http://asia.ensembl.org/Homo_sapiens/Gene/Summary?g=ENSG00000111775", "ENSG00000111775")</f>
        <v>ENSG00000111775</v>
      </c>
      <c r="M853" s="12" t="s">
        <v>19507</v>
      </c>
      <c r="N853" s="12" t="s">
        <v>7013</v>
      </c>
    </row>
    <row r="854" spans="1:14">
      <c r="A854" s="12" t="s">
        <v>7622</v>
      </c>
      <c r="B854" s="8">
        <v>21297.260703618998</v>
      </c>
      <c r="C854" s="12">
        <v>50850.490606158499</v>
      </c>
      <c r="D854" s="8">
        <v>-1.25559381323495</v>
      </c>
      <c r="E854" s="12">
        <v>2.8666027179903302E-3</v>
      </c>
      <c r="F854" s="8" t="s">
        <v>2648</v>
      </c>
      <c r="G854" s="12" t="s">
        <v>17052</v>
      </c>
      <c r="H854" s="12">
        <v>1</v>
      </c>
      <c r="I854" s="13" t="str">
        <f>HYPERLINK("http://www.ncbi.nlm.nih.gov/gene/8409", "8409")</f>
        <v>8409</v>
      </c>
      <c r="J854" s="12" t="s">
        <v>18594</v>
      </c>
      <c r="K854" s="12" t="s">
        <v>18595</v>
      </c>
      <c r="L854" s="13" t="str">
        <f>HYPERLINK("http://asia.ensembl.org/Homo_sapiens/Gene/Summary?g=ENSG00000126756", "ENSG00000126756")</f>
        <v>ENSG00000126756</v>
      </c>
      <c r="M854" s="12" t="s">
        <v>17055</v>
      </c>
      <c r="N854" s="12" t="s">
        <v>17056</v>
      </c>
    </row>
    <row r="855" spans="1:14">
      <c r="A855" s="12" t="s">
        <v>10337</v>
      </c>
      <c r="B855" s="8">
        <v>1097.78958609714</v>
      </c>
      <c r="C855" s="12">
        <v>2620.6530581433099</v>
      </c>
      <c r="D855" s="8">
        <v>-1.2553248127066901</v>
      </c>
      <c r="E855" s="12">
        <v>1.7644392467594801E-3</v>
      </c>
      <c r="F855" s="8" t="s">
        <v>7927</v>
      </c>
      <c r="G855" s="12" t="s">
        <v>19673</v>
      </c>
      <c r="H855" s="12">
        <v>1</v>
      </c>
      <c r="I855" s="13" t="str">
        <f>HYPERLINK("http://www.ncbi.nlm.nih.gov/gene/90736", "90736")</f>
        <v>90736</v>
      </c>
      <c r="J855" s="12" t="s">
        <v>19674</v>
      </c>
      <c r="K855" s="12" t="s">
        <v>19675</v>
      </c>
      <c r="L855" s="13" t="str">
        <f>HYPERLINK("http://asia.ensembl.org/Homo_sapiens/Gene/Summary?g=ENSG00000182518", "ENSG00000182518")</f>
        <v>ENSG00000182518</v>
      </c>
      <c r="M855" s="12" t="s">
        <v>19676</v>
      </c>
      <c r="N855" s="12" t="s">
        <v>19677</v>
      </c>
    </row>
    <row r="856" spans="1:14">
      <c r="A856" s="12" t="s">
        <v>4893</v>
      </c>
      <c r="B856" s="8">
        <v>39600.909181125899</v>
      </c>
      <c r="C856" s="12">
        <v>94515.800196448501</v>
      </c>
      <c r="D856" s="8">
        <v>-1.25502197174163</v>
      </c>
      <c r="E856" s="12">
        <v>4.4542389686891099E-3</v>
      </c>
      <c r="F856" s="8" t="s">
        <v>4894</v>
      </c>
      <c r="G856" s="12" t="s">
        <v>4895</v>
      </c>
      <c r="H856" s="12">
        <v>1</v>
      </c>
      <c r="I856" s="13" t="str">
        <f>HYPERLINK("http://www.ncbi.nlm.nih.gov/gene/4259", "4259")</f>
        <v>4259</v>
      </c>
      <c r="J856" s="13" t="str">
        <f>HYPERLINK("http://www.ncbi.nlm.nih.gov/nuccore/NM_004528", "NM_004528")</f>
        <v>NM_004528</v>
      </c>
      <c r="K856" s="12" t="s">
        <v>4896</v>
      </c>
      <c r="L856" s="13" t="str">
        <f>HYPERLINK("http://asia.ensembl.org/Homo_sapiens/Gene/Summary?g=ENSG00000143198", "ENSG00000143198")</f>
        <v>ENSG00000143198</v>
      </c>
      <c r="M856" s="12" t="s">
        <v>17758</v>
      </c>
      <c r="N856" s="12" t="s">
        <v>17759</v>
      </c>
    </row>
    <row r="857" spans="1:14">
      <c r="A857" s="12" t="s">
        <v>10078</v>
      </c>
      <c r="B857" s="8">
        <v>3377.8232067731701</v>
      </c>
      <c r="C857" s="12">
        <v>8060.1456141835297</v>
      </c>
      <c r="D857" s="8">
        <v>-1.25471208231633</v>
      </c>
      <c r="E857" s="12">
        <v>6.5726003112777098E-3</v>
      </c>
      <c r="F857" s="8" t="s">
        <v>5532</v>
      </c>
      <c r="G857" s="12" t="s">
        <v>5533</v>
      </c>
      <c r="H857" s="12">
        <v>1</v>
      </c>
      <c r="I857" s="13" t="str">
        <f>HYPERLINK("http://www.ncbi.nlm.nih.gov/gene/3257", "3257")</f>
        <v>3257</v>
      </c>
      <c r="J857" s="13" t="str">
        <f>HYPERLINK("http://www.ncbi.nlm.nih.gov/nuccore/NM_182639", "NM_182639")</f>
        <v>NM_182639</v>
      </c>
      <c r="K857" s="12" t="s">
        <v>10079</v>
      </c>
      <c r="L857" s="13" t="str">
        <f>HYPERLINK("http://asia.ensembl.org/Homo_sapiens/Gene/Summary?g=ENSG00000107521", "ENSG00000107521")</f>
        <v>ENSG00000107521</v>
      </c>
      <c r="M857" s="12" t="s">
        <v>19528</v>
      </c>
      <c r="N857" s="12" t="s">
        <v>19529</v>
      </c>
    </row>
    <row r="858" spans="1:14">
      <c r="A858" s="12" t="s">
        <v>11757</v>
      </c>
      <c r="B858" s="8">
        <v>3769.4066098646799</v>
      </c>
      <c r="C858" s="12">
        <v>8994.1997762428091</v>
      </c>
      <c r="D858" s="8">
        <v>-1.25465750060474</v>
      </c>
      <c r="E858" s="12">
        <v>1.5243410957532699E-3</v>
      </c>
      <c r="F858" s="8" t="s">
        <v>38</v>
      </c>
      <c r="G858" s="12" t="s">
        <v>38</v>
      </c>
      <c r="H858" s="12">
        <v>1</v>
      </c>
      <c r="I858" s="12" t="s">
        <v>38</v>
      </c>
      <c r="J858" s="12" t="s">
        <v>38</v>
      </c>
      <c r="K858" s="12" t="s">
        <v>38</v>
      </c>
      <c r="L858" s="12" t="s">
        <v>11758</v>
      </c>
      <c r="M858" s="12" t="s">
        <v>11759</v>
      </c>
      <c r="N858" s="12" t="s">
        <v>20185</v>
      </c>
    </row>
    <row r="859" spans="1:14">
      <c r="A859" s="12" t="s">
        <v>7202</v>
      </c>
      <c r="B859" s="8">
        <v>99584.986407705001</v>
      </c>
      <c r="C859" s="12">
        <v>237582.00618788999</v>
      </c>
      <c r="D859" s="8">
        <v>-1.2544254137137401</v>
      </c>
      <c r="E859" s="12">
        <v>1.10095066246689E-2</v>
      </c>
      <c r="F859" s="8" t="s">
        <v>7203</v>
      </c>
      <c r="G859" s="12" t="s">
        <v>7204</v>
      </c>
      <c r="H859" s="12">
        <v>1</v>
      </c>
      <c r="I859" s="13" t="str">
        <f>HYPERLINK("http://www.ncbi.nlm.nih.gov/gene/6141", "6141")</f>
        <v>6141</v>
      </c>
      <c r="J859" s="12" t="s">
        <v>18417</v>
      </c>
      <c r="K859" s="12" t="s">
        <v>18418</v>
      </c>
      <c r="L859" s="13" t="str">
        <f>HYPERLINK("http://asia.ensembl.org/Homo_sapiens/Gene/Summary?g=ENSG00000063177", "ENSG00000063177")</f>
        <v>ENSG00000063177</v>
      </c>
      <c r="M859" s="12" t="s">
        <v>18419</v>
      </c>
      <c r="N859" s="12" t="s">
        <v>18420</v>
      </c>
    </row>
    <row r="860" spans="1:14">
      <c r="A860" s="12" t="s">
        <v>2773</v>
      </c>
      <c r="B860" s="8">
        <v>6295.8358225757702</v>
      </c>
      <c r="C860" s="12">
        <v>15015.234792793601</v>
      </c>
      <c r="D860" s="8">
        <v>-1.2539572093715601</v>
      </c>
      <c r="E860" s="12">
        <v>3.3107370134995199E-3</v>
      </c>
      <c r="F860" s="8" t="s">
        <v>2774</v>
      </c>
      <c r="G860" s="12" t="s">
        <v>2775</v>
      </c>
      <c r="H860" s="12">
        <v>1</v>
      </c>
      <c r="I860" s="13" t="str">
        <f>HYPERLINK("http://www.ncbi.nlm.nih.gov/gene/55052", "55052")</f>
        <v>55052</v>
      </c>
      <c r="J860" s="13" t="str">
        <f>HYPERLINK("http://www.ncbi.nlm.nih.gov/nuccore/NM_017971", "NM_017971")</f>
        <v>NM_017971</v>
      </c>
      <c r="K860" s="12" t="s">
        <v>2776</v>
      </c>
      <c r="L860" s="13" t="str">
        <f>HYPERLINK("http://asia.ensembl.org/Homo_sapiens/Gene/Summary?g=ENSG00000242485", "ENSG00000242485")</f>
        <v>ENSG00000242485</v>
      </c>
      <c r="M860" s="12" t="s">
        <v>17110</v>
      </c>
      <c r="N860" s="12" t="s">
        <v>17111</v>
      </c>
    </row>
    <row r="861" spans="1:14">
      <c r="A861" s="12" t="s">
        <v>6598</v>
      </c>
      <c r="B861" s="8">
        <v>2993.9195439013001</v>
      </c>
      <c r="C861" s="12">
        <v>7137.4920339240198</v>
      </c>
      <c r="D861" s="8">
        <v>-1.25338177816733</v>
      </c>
      <c r="E861" s="12">
        <v>7.5455751588862103E-3</v>
      </c>
      <c r="F861" s="8" t="s">
        <v>6599</v>
      </c>
      <c r="G861" s="12" t="s">
        <v>18221</v>
      </c>
      <c r="H861" s="12">
        <v>1</v>
      </c>
      <c r="I861" s="13" t="str">
        <f>HYPERLINK("http://www.ncbi.nlm.nih.gov/gene/79006", "79006")</f>
        <v>79006</v>
      </c>
      <c r="J861" s="13" t="str">
        <f>HYPERLINK("http://www.ncbi.nlm.nih.gov/nuccore/NM_024042", "NM_024042")</f>
        <v>NM_024042</v>
      </c>
      <c r="K861" s="12" t="s">
        <v>6600</v>
      </c>
      <c r="L861" s="13" t="str">
        <f>HYPERLINK("http://asia.ensembl.org/Homo_sapiens/Gene/Summary?g=ENSG00000103260", "ENSG00000103260")</f>
        <v>ENSG00000103260</v>
      </c>
      <c r="M861" s="12" t="s">
        <v>18222</v>
      </c>
      <c r="N861" s="12" t="s">
        <v>18223</v>
      </c>
    </row>
    <row r="862" spans="1:14">
      <c r="A862" s="12" t="s">
        <v>10322</v>
      </c>
      <c r="B862" s="8">
        <v>11471.190661393501</v>
      </c>
      <c r="C862" s="12">
        <v>27342.881246888901</v>
      </c>
      <c r="D862" s="8">
        <v>-1.25315012964817</v>
      </c>
      <c r="E862" s="12">
        <v>5.0250324017060604E-3</v>
      </c>
      <c r="F862" s="8" t="s">
        <v>3480</v>
      </c>
      <c r="G862" s="12" t="s">
        <v>3481</v>
      </c>
      <c r="H862" s="12">
        <v>1</v>
      </c>
      <c r="I862" s="13" t="str">
        <f>HYPERLINK("http://www.ncbi.nlm.nih.gov/gene/51218", "51218")</f>
        <v>51218</v>
      </c>
      <c r="J862" s="13" t="str">
        <f>HYPERLINK("http://www.ncbi.nlm.nih.gov/nuccore/NM_016417", "NM_016417")</f>
        <v>NM_016417</v>
      </c>
      <c r="K862" s="12" t="s">
        <v>3482</v>
      </c>
      <c r="L862" s="13" t="str">
        <f>HYPERLINK("http://asia.ensembl.org/Homo_sapiens/Gene/Summary?g=ENSG00000182512", "ENSG00000182512")</f>
        <v>ENSG00000182512</v>
      </c>
      <c r="M862" s="12" t="s">
        <v>17316</v>
      </c>
      <c r="N862" s="12" t="s">
        <v>17317</v>
      </c>
    </row>
    <row r="863" spans="1:14">
      <c r="A863" s="12" t="s">
        <v>10660</v>
      </c>
      <c r="B863" s="8">
        <v>467.002622164272</v>
      </c>
      <c r="C863" s="12">
        <v>1113.03828245663</v>
      </c>
      <c r="D863" s="8">
        <v>-1.25300065875577</v>
      </c>
      <c r="E863" s="12">
        <v>4.39354933252613E-3</v>
      </c>
      <c r="F863" s="8" t="s">
        <v>10661</v>
      </c>
      <c r="G863" s="12" t="s">
        <v>10662</v>
      </c>
      <c r="H863" s="12">
        <v>1</v>
      </c>
      <c r="I863" s="13" t="str">
        <f>HYPERLINK("http://www.ncbi.nlm.nih.gov/gene/8660", "8660")</f>
        <v>8660</v>
      </c>
      <c r="J863" s="13" t="str">
        <f>HYPERLINK("http://www.ncbi.nlm.nih.gov/nuccore/NM_003749", "NM_003749")</f>
        <v>NM_003749</v>
      </c>
      <c r="K863" s="12" t="s">
        <v>10663</v>
      </c>
      <c r="L863" s="13" t="str">
        <f>HYPERLINK("http://asia.ensembl.org/Homo_sapiens/Gene/Summary?g=ENSG00000185950", "ENSG00000185950")</f>
        <v>ENSG00000185950</v>
      </c>
      <c r="M863" s="12" t="s">
        <v>10664</v>
      </c>
      <c r="N863" s="12" t="s">
        <v>10665</v>
      </c>
    </row>
    <row r="864" spans="1:14">
      <c r="A864" s="12" t="s">
        <v>10579</v>
      </c>
      <c r="B864" s="8">
        <v>116.744785981454</v>
      </c>
      <c r="C864" s="12">
        <v>278.24004241946602</v>
      </c>
      <c r="D864" s="8">
        <v>-1.2529719395190799</v>
      </c>
      <c r="E864" s="12">
        <v>3.7240303063785598E-3</v>
      </c>
      <c r="F864" s="8" t="s">
        <v>7792</v>
      </c>
      <c r="G864" s="12" t="s">
        <v>7793</v>
      </c>
      <c r="H864" s="12">
        <v>1</v>
      </c>
      <c r="I864" s="13" t="str">
        <f>HYPERLINK("http://www.ncbi.nlm.nih.gov/gene/114818", "114818")</f>
        <v>114818</v>
      </c>
      <c r="J864" s="13" t="str">
        <f>HYPERLINK("http://www.ncbi.nlm.nih.gov/nuccore/NM_052920", "NM_052920")</f>
        <v>NM_052920</v>
      </c>
      <c r="K864" s="12" t="s">
        <v>7794</v>
      </c>
      <c r="L864" s="13" t="str">
        <f>HYPERLINK("http://asia.ensembl.org/Homo_sapiens/Gene/Summary?g=ENSG00000119771", "ENSG00000119771")</f>
        <v>ENSG00000119771</v>
      </c>
      <c r="M864" s="12" t="s">
        <v>19781</v>
      </c>
      <c r="N864" s="12" t="s">
        <v>19782</v>
      </c>
    </row>
    <row r="865" spans="1:14">
      <c r="A865" s="12" t="s">
        <v>7925</v>
      </c>
      <c r="B865" s="8">
        <v>659.64505260155295</v>
      </c>
      <c r="C865" s="12">
        <v>1572.1304925705099</v>
      </c>
      <c r="D865" s="8">
        <v>-1.2529591307250301</v>
      </c>
      <c r="E865" s="12">
        <v>4.21891974397427E-3</v>
      </c>
      <c r="F865" s="8" t="s">
        <v>5682</v>
      </c>
      <c r="G865" s="12" t="s">
        <v>41</v>
      </c>
      <c r="H865" s="12">
        <v>1</v>
      </c>
      <c r="I865" s="13" t="str">
        <f>HYPERLINK("http://www.ncbi.nlm.nih.gov/gene/7923", "7923")</f>
        <v>7923</v>
      </c>
      <c r="J865" s="13" t="str">
        <f>HYPERLINK("http://www.ncbi.nlm.nih.gov/nuccore/NM_014234", "NM_014234")</f>
        <v>NM_014234</v>
      </c>
      <c r="K865" s="12" t="s">
        <v>5683</v>
      </c>
      <c r="L865" s="13" t="str">
        <f>HYPERLINK("http://asia.ensembl.org/Homo_sapiens/Gene/Summary?g=ENSG00000232357", "ENSG00000232357")</f>
        <v>ENSG00000232357</v>
      </c>
      <c r="M865" s="12" t="s">
        <v>17936</v>
      </c>
      <c r="N865" s="12" t="s">
        <v>5684</v>
      </c>
    </row>
    <row r="866" spans="1:14">
      <c r="A866" s="12" t="s">
        <v>2649</v>
      </c>
      <c r="B866" s="8">
        <v>50</v>
      </c>
      <c r="C866" s="12">
        <v>119.13940544258899</v>
      </c>
      <c r="D866" s="8">
        <v>-1.25265066453684</v>
      </c>
      <c r="E866" s="12">
        <v>3.6610053195681397E-5</v>
      </c>
      <c r="F866" s="8" t="s">
        <v>2650</v>
      </c>
      <c r="G866" s="12" t="s">
        <v>2651</v>
      </c>
      <c r="H866" s="12">
        <v>1</v>
      </c>
      <c r="I866" s="13" t="str">
        <f>HYPERLINK("http://www.ncbi.nlm.nih.gov/gene/3084", "3084")</f>
        <v>3084</v>
      </c>
      <c r="J866" s="12" t="s">
        <v>17057</v>
      </c>
      <c r="K866" s="12" t="s">
        <v>17058</v>
      </c>
      <c r="L866" s="13" t="str">
        <f>HYPERLINK("http://asia.ensembl.org/Homo_sapiens/Gene/Summary?g=ENSG00000157168", "ENSG00000157168")</f>
        <v>ENSG00000157168</v>
      </c>
      <c r="M866" s="12" t="s">
        <v>17059</v>
      </c>
      <c r="N866" s="12" t="s">
        <v>17060</v>
      </c>
    </row>
    <row r="867" spans="1:14">
      <c r="A867" s="12" t="s">
        <v>6775</v>
      </c>
      <c r="B867" s="8">
        <v>27776.465913484099</v>
      </c>
      <c r="C867" s="12">
        <v>66166.882764604699</v>
      </c>
      <c r="D867" s="8">
        <v>-1.2522462609170399</v>
      </c>
      <c r="E867" s="12">
        <v>1.7213577067849799E-3</v>
      </c>
      <c r="F867" s="8" t="s">
        <v>6776</v>
      </c>
      <c r="G867" s="12" t="s">
        <v>6777</v>
      </c>
      <c r="H867" s="12">
        <v>1</v>
      </c>
      <c r="I867" s="13" t="str">
        <f>HYPERLINK("http://www.ncbi.nlm.nih.gov/gene/6717", "6717")</f>
        <v>6717</v>
      </c>
      <c r="J867" s="12" t="s">
        <v>18257</v>
      </c>
      <c r="K867" s="12" t="s">
        <v>18258</v>
      </c>
      <c r="L867" s="13" t="str">
        <f>HYPERLINK("http://asia.ensembl.org/Homo_sapiens/Gene/Summary?g=ENSG00000075142", "ENSG00000075142")</f>
        <v>ENSG00000075142</v>
      </c>
      <c r="M867" s="12" t="s">
        <v>18259</v>
      </c>
      <c r="N867" s="12" t="s">
        <v>18260</v>
      </c>
    </row>
    <row r="868" spans="1:14">
      <c r="A868" s="12" t="s">
        <v>11293</v>
      </c>
      <c r="B868" s="8">
        <v>102.496388683067</v>
      </c>
      <c r="C868" s="12">
        <v>244.114674499811</v>
      </c>
      <c r="D868" s="8">
        <v>-1.25198594337226</v>
      </c>
      <c r="E868" s="12">
        <v>1.69499967436301E-2</v>
      </c>
      <c r="F868" s="8" t="s">
        <v>8341</v>
      </c>
      <c r="G868" s="12" t="s">
        <v>8342</v>
      </c>
      <c r="H868" s="12">
        <v>1</v>
      </c>
      <c r="I868" s="13" t="str">
        <f>HYPERLINK("http://www.ncbi.nlm.nih.gov/gene/23305", "23305")</f>
        <v>23305</v>
      </c>
      <c r="J868" s="12" t="s">
        <v>20026</v>
      </c>
      <c r="K868" s="12" t="s">
        <v>20027</v>
      </c>
      <c r="L868" s="13" t="str">
        <f>HYPERLINK("http://asia.ensembl.org/Homo_sapiens/Gene/Summary?g=ENSG00000164398", "ENSG00000164398")</f>
        <v>ENSG00000164398</v>
      </c>
      <c r="M868" s="12" t="s">
        <v>20028</v>
      </c>
      <c r="N868" s="12" t="s">
        <v>20029</v>
      </c>
    </row>
    <row r="869" spans="1:14">
      <c r="A869" s="12" t="s">
        <v>8149</v>
      </c>
      <c r="B869" s="8">
        <v>49.999999999999901</v>
      </c>
      <c r="C869" s="12">
        <v>119.079820839991</v>
      </c>
      <c r="D869" s="8">
        <v>-1.2519289561019999</v>
      </c>
      <c r="E869" s="12">
        <v>3.9564430432843897E-2</v>
      </c>
      <c r="F869" s="8" t="s">
        <v>8150</v>
      </c>
      <c r="G869" s="12" t="s">
        <v>8151</v>
      </c>
      <c r="H869" s="12">
        <v>1</v>
      </c>
      <c r="I869" s="13" t="str">
        <f>HYPERLINK("http://www.ncbi.nlm.nih.gov/gene/375791", "375791")</f>
        <v>375791</v>
      </c>
      <c r="J869" s="13" t="str">
        <f>HYPERLINK("http://www.ncbi.nlm.nih.gov/nuccore/NM_199001", "NM_199001")</f>
        <v>NM_199001</v>
      </c>
      <c r="K869" s="12" t="s">
        <v>8152</v>
      </c>
      <c r="L869" s="13" t="str">
        <f>HYPERLINK("http://asia.ensembl.org/Homo_sapiens/Gene/Summary?g=ENSG00000197191", "ENSG00000197191")</f>
        <v>ENSG00000197191</v>
      </c>
      <c r="M869" s="12" t="s">
        <v>8153</v>
      </c>
      <c r="N869" s="12" t="s">
        <v>8154</v>
      </c>
    </row>
    <row r="870" spans="1:14">
      <c r="A870" s="12" t="s">
        <v>6172</v>
      </c>
      <c r="B870" s="8">
        <v>3938.5716664880802</v>
      </c>
      <c r="C870" s="12">
        <v>9377.4542016239393</v>
      </c>
      <c r="D870" s="8">
        <v>-1.2515237846256699</v>
      </c>
      <c r="E870" s="12">
        <v>2.03943060606549E-3</v>
      </c>
      <c r="F870" s="8" t="s">
        <v>6173</v>
      </c>
      <c r="G870" s="12" t="s">
        <v>18075</v>
      </c>
      <c r="H870" s="12">
        <v>1</v>
      </c>
      <c r="I870" s="13" t="str">
        <f>HYPERLINK("http://www.ncbi.nlm.nih.gov/gene/55611", "55611")</f>
        <v>55611</v>
      </c>
      <c r="J870" s="12" t="s">
        <v>18076</v>
      </c>
      <c r="K870" s="12" t="s">
        <v>18077</v>
      </c>
      <c r="L870" s="13" t="str">
        <f>HYPERLINK("http://asia.ensembl.org/Homo_sapiens/Gene/Summary?g=ENSG00000167770", "ENSG00000167770")</f>
        <v>ENSG00000167770</v>
      </c>
      <c r="M870" s="12" t="s">
        <v>18078</v>
      </c>
      <c r="N870" s="12" t="s">
        <v>18079</v>
      </c>
    </row>
    <row r="871" spans="1:14">
      <c r="A871" s="12" t="s">
        <v>11308</v>
      </c>
      <c r="B871" s="8">
        <v>559.02490136389304</v>
      </c>
      <c r="C871" s="12">
        <v>1330.7783593009301</v>
      </c>
      <c r="D871" s="8">
        <v>-1.2512858574413599</v>
      </c>
      <c r="E871" s="12">
        <v>7.3123258750961697E-3</v>
      </c>
      <c r="F871" s="8" t="s">
        <v>10142</v>
      </c>
      <c r="G871" s="12" t="s">
        <v>20052</v>
      </c>
      <c r="H871" s="12">
        <v>1</v>
      </c>
      <c r="I871" s="13" t="str">
        <f>HYPERLINK("http://www.ncbi.nlm.nih.gov/gene/441521", "441521")</f>
        <v>441521</v>
      </c>
      <c r="J871" s="12" t="s">
        <v>20053</v>
      </c>
      <c r="K871" s="12" t="s">
        <v>20054</v>
      </c>
      <c r="L871" s="13" t="str">
        <f>HYPERLINK("http://asia.ensembl.org/Homo_sapiens/Gene/Summary?g=ENSG00000273696", "ENSG00000273696")</f>
        <v>ENSG00000273696</v>
      </c>
      <c r="M871" s="12" t="s">
        <v>10143</v>
      </c>
      <c r="N871" s="12" t="s">
        <v>10144</v>
      </c>
    </row>
    <row r="872" spans="1:14">
      <c r="A872" s="12" t="s">
        <v>6794</v>
      </c>
      <c r="B872" s="8">
        <v>4495.0755169013401</v>
      </c>
      <c r="C872" s="12">
        <v>10695.1978005124</v>
      </c>
      <c r="D872" s="8">
        <v>-1.25054590621243</v>
      </c>
      <c r="E872" s="12">
        <v>8.1791724632211196E-3</v>
      </c>
      <c r="F872" s="8" t="s">
        <v>6795</v>
      </c>
      <c r="G872" s="12" t="s">
        <v>351</v>
      </c>
      <c r="H872" s="12">
        <v>1</v>
      </c>
      <c r="I872" s="13" t="str">
        <f>HYPERLINK("http://www.ncbi.nlm.nih.gov/gene/152100", "152100")</f>
        <v>152100</v>
      </c>
      <c r="J872" s="13" t="str">
        <f>HYPERLINK("http://www.ncbi.nlm.nih.gov/nuccore/NM_182523", "NM_182523")</f>
        <v>NM_182523</v>
      </c>
      <c r="K872" s="12" t="s">
        <v>6796</v>
      </c>
      <c r="L872" s="13" t="str">
        <f>HYPERLINK("http://asia.ensembl.org/Homo_sapiens/Gene/Summary?g=ENSG00000187118", "ENSG00000187118")</f>
        <v>ENSG00000187118</v>
      </c>
      <c r="M872" s="12" t="s">
        <v>18265</v>
      </c>
      <c r="N872" s="12" t="s">
        <v>18266</v>
      </c>
    </row>
    <row r="873" spans="1:14">
      <c r="A873" s="12" t="s">
        <v>4702</v>
      </c>
      <c r="B873" s="8">
        <v>26061.900457198401</v>
      </c>
      <c r="C873" s="12">
        <v>61997.393502429797</v>
      </c>
      <c r="D873" s="8">
        <v>-1.2502652725555801</v>
      </c>
      <c r="E873" s="12">
        <v>3.7546102804768599E-3</v>
      </c>
      <c r="F873" s="8" t="s">
        <v>4703</v>
      </c>
      <c r="G873" s="12" t="s">
        <v>4704</v>
      </c>
      <c r="H873" s="12">
        <v>1</v>
      </c>
      <c r="I873" s="13" t="str">
        <f>HYPERLINK("http://www.ncbi.nlm.nih.gov/gene/164312", "164312")</f>
        <v>164312</v>
      </c>
      <c r="J873" s="13" t="str">
        <f>HYPERLINK("http://www.ncbi.nlm.nih.gov/nuccore/NM_152611", "NM_152611")</f>
        <v>NM_152611</v>
      </c>
      <c r="K873" s="12" t="s">
        <v>4705</v>
      </c>
      <c r="L873" s="13" t="str">
        <f>HYPERLINK("http://asia.ensembl.org/Homo_sapiens/Gene/Summary?g=ENSG00000125872", "ENSG00000125872")</f>
        <v>ENSG00000125872</v>
      </c>
      <c r="M873" s="12" t="s">
        <v>4706</v>
      </c>
      <c r="N873" s="12" t="s">
        <v>4707</v>
      </c>
    </row>
    <row r="874" spans="1:14">
      <c r="A874" s="12" t="s">
        <v>6325</v>
      </c>
      <c r="B874" s="8">
        <v>19106.483601029198</v>
      </c>
      <c r="C874" s="12">
        <v>45432.340481339503</v>
      </c>
      <c r="D874" s="8">
        <v>-1.2496573428346101</v>
      </c>
      <c r="E874" s="12">
        <v>2.9156459774475501E-3</v>
      </c>
      <c r="F874" s="8" t="s">
        <v>6326</v>
      </c>
      <c r="G874" s="12" t="s">
        <v>6327</v>
      </c>
      <c r="H874" s="12">
        <v>1</v>
      </c>
      <c r="I874" s="13" t="str">
        <f>HYPERLINK("http://www.ncbi.nlm.nih.gov/gene/10330", "10330")</f>
        <v>10330</v>
      </c>
      <c r="J874" s="13" t="str">
        <f>HYPERLINK("http://www.ncbi.nlm.nih.gov/nuccore/NM_014255", "NM_014255")</f>
        <v>NM_014255</v>
      </c>
      <c r="K874" s="12" t="s">
        <v>6328</v>
      </c>
      <c r="L874" s="13" t="str">
        <f>HYPERLINK("http://asia.ensembl.org/Homo_sapiens/Gene/Summary?g=ENSG00000257727", "ENSG00000257727")</f>
        <v>ENSG00000257727</v>
      </c>
      <c r="M874" s="12" t="s">
        <v>18124</v>
      </c>
      <c r="N874" s="12" t="s">
        <v>18125</v>
      </c>
    </row>
    <row r="875" spans="1:14">
      <c r="A875" s="12" t="s">
        <v>6696</v>
      </c>
      <c r="B875" s="8">
        <v>548.49443547938097</v>
      </c>
      <c r="C875" s="12">
        <v>1303.95072163241</v>
      </c>
      <c r="D875" s="8">
        <v>-1.24934045930662</v>
      </c>
      <c r="E875" s="12">
        <v>3.3178836334544202E-3</v>
      </c>
      <c r="F875" s="8" t="s">
        <v>6697</v>
      </c>
      <c r="G875" s="12" t="s">
        <v>6698</v>
      </c>
      <c r="H875" s="12">
        <v>1</v>
      </c>
      <c r="I875" s="13" t="str">
        <f>HYPERLINK("http://www.ncbi.nlm.nih.gov/gene/5359", "5359")</f>
        <v>5359</v>
      </c>
      <c r="J875" s="13" t="str">
        <f>HYPERLINK("http://www.ncbi.nlm.nih.gov/nuccore/NM_021105", "NM_021105")</f>
        <v>NM_021105</v>
      </c>
      <c r="K875" s="12" t="s">
        <v>6699</v>
      </c>
      <c r="L875" s="13" t="str">
        <f>HYPERLINK("http://asia.ensembl.org/Homo_sapiens/Gene/Summary?g=ENSG00000188313", "ENSG00000188313")</f>
        <v>ENSG00000188313</v>
      </c>
      <c r="M875" s="12" t="s">
        <v>18234</v>
      </c>
      <c r="N875" s="12" t="s">
        <v>18235</v>
      </c>
    </row>
    <row r="876" spans="1:14">
      <c r="A876" s="12" t="s">
        <v>3456</v>
      </c>
      <c r="B876" s="8">
        <v>198.66482150139299</v>
      </c>
      <c r="C876" s="12">
        <v>472.19401994455399</v>
      </c>
      <c r="D876" s="8">
        <v>-1.2490433402897001</v>
      </c>
      <c r="E876" s="12">
        <v>2.88357323425805E-3</v>
      </c>
      <c r="F876" s="8" t="s">
        <v>3457</v>
      </c>
      <c r="G876" s="12" t="s">
        <v>3458</v>
      </c>
      <c r="H876" s="12">
        <v>1</v>
      </c>
      <c r="I876" s="13" t="str">
        <f>HYPERLINK("http://www.ncbi.nlm.nih.gov/gene/129080", "129080")</f>
        <v>129080</v>
      </c>
      <c r="J876" s="12" t="s">
        <v>17309</v>
      </c>
      <c r="K876" s="12" t="s">
        <v>17310</v>
      </c>
      <c r="L876" s="13" t="str">
        <f>HYPERLINK("http://asia.ensembl.org/Homo_sapiens/Gene/Summary?g=ENSG00000186998", "ENSG00000186998")</f>
        <v>ENSG00000186998</v>
      </c>
      <c r="M876" s="12" t="s">
        <v>17311</v>
      </c>
      <c r="N876" s="12" t="s">
        <v>17312</v>
      </c>
    </row>
    <row r="877" spans="1:14">
      <c r="A877" s="12" t="s">
        <v>7790</v>
      </c>
      <c r="B877" s="8">
        <v>2372.62867795897</v>
      </c>
      <c r="C877" s="12">
        <v>5638.7747333773896</v>
      </c>
      <c r="D877" s="8">
        <v>-1.2488953760700501</v>
      </c>
      <c r="E877" s="12">
        <v>8.2844754312541707E-3</v>
      </c>
      <c r="F877" s="8" t="s">
        <v>3688</v>
      </c>
      <c r="G877" s="12" t="s">
        <v>3689</v>
      </c>
      <c r="H877" s="12">
        <v>1</v>
      </c>
      <c r="I877" s="13" t="str">
        <f>HYPERLINK("http://www.ncbi.nlm.nih.gov/gene/54512", "54512")</f>
        <v>54512</v>
      </c>
      <c r="J877" s="13" t="str">
        <f>HYPERLINK("http://www.ncbi.nlm.nih.gov/nuccore/NM_019037", "NM_019037")</f>
        <v>NM_019037</v>
      </c>
      <c r="K877" s="12" t="s">
        <v>3690</v>
      </c>
      <c r="L877" s="13" t="str">
        <f>HYPERLINK("http://asia.ensembl.org/Homo_sapiens/Gene/Summary?g=ENSG00000178896", "ENSG00000178896")</f>
        <v>ENSG00000178896</v>
      </c>
      <c r="M877" s="12" t="s">
        <v>18638</v>
      </c>
      <c r="N877" s="12" t="s">
        <v>18639</v>
      </c>
    </row>
    <row r="878" spans="1:14">
      <c r="A878" s="12" t="s">
        <v>2759</v>
      </c>
      <c r="B878" s="8">
        <v>18610.689313525501</v>
      </c>
      <c r="C878" s="12">
        <v>44202.913421802303</v>
      </c>
      <c r="D878" s="8">
        <v>-1.24800996927056</v>
      </c>
      <c r="E878" s="12">
        <v>1.3003486041145301E-3</v>
      </c>
      <c r="F878" s="8" t="s">
        <v>2760</v>
      </c>
      <c r="G878" s="12" t="s">
        <v>2761</v>
      </c>
      <c r="H878" s="12">
        <v>1</v>
      </c>
      <c r="I878" s="13" t="str">
        <f>HYPERLINK("http://www.ncbi.nlm.nih.gov/gene/118487", "118487")</f>
        <v>118487</v>
      </c>
      <c r="J878" s="13" t="str">
        <f>HYPERLINK("http://www.ncbi.nlm.nih.gov/nuccore/NM_203298", "NM_203298")</f>
        <v>NM_203298</v>
      </c>
      <c r="K878" s="12" t="s">
        <v>2762</v>
      </c>
      <c r="L878" s="13" t="str">
        <f>HYPERLINK("http://asia.ensembl.org/Homo_sapiens/Gene/Summary?g=ENSG00000172586", "ENSG00000172586")</f>
        <v>ENSG00000172586</v>
      </c>
      <c r="M878" s="12" t="s">
        <v>17104</v>
      </c>
      <c r="N878" s="12" t="s">
        <v>17105</v>
      </c>
    </row>
    <row r="879" spans="1:14">
      <c r="A879" s="12" t="s">
        <v>5520</v>
      </c>
      <c r="B879" s="8">
        <v>66.148507026948494</v>
      </c>
      <c r="C879" s="12">
        <v>157.087915193811</v>
      </c>
      <c r="D879" s="8">
        <v>-1.24779169773985</v>
      </c>
      <c r="E879" s="12">
        <v>7.3416969043711804E-3</v>
      </c>
      <c r="F879" s="8" t="s">
        <v>5521</v>
      </c>
      <c r="G879" s="12" t="s">
        <v>5522</v>
      </c>
      <c r="H879" s="12">
        <v>1</v>
      </c>
      <c r="I879" s="13" t="str">
        <f>HYPERLINK("http://www.ncbi.nlm.nih.gov/gene/266727", "266727")</f>
        <v>266727</v>
      </c>
      <c r="J879" s="13" t="str">
        <f>HYPERLINK("http://www.ncbi.nlm.nih.gov/nuccore/NM_153487", "NM_153487")</f>
        <v>NM_153487</v>
      </c>
      <c r="K879" s="12" t="s">
        <v>5523</v>
      </c>
      <c r="L879" s="13" t="str">
        <f>HYPERLINK("http://asia.ensembl.org/Homo_sapiens/Gene/Summary?g=ENSG00000112139", "ENSG00000112139")</f>
        <v>ENSG00000112139</v>
      </c>
      <c r="M879" s="12" t="s">
        <v>17892</v>
      </c>
      <c r="N879" s="12" t="s">
        <v>17893</v>
      </c>
    </row>
    <row r="880" spans="1:14">
      <c r="A880" s="12" t="s">
        <v>7210</v>
      </c>
      <c r="B880" s="8">
        <v>2801.7727846927301</v>
      </c>
      <c r="C880" s="12">
        <v>6651.6384707090001</v>
      </c>
      <c r="D880" s="8">
        <v>-1.2473697952134799</v>
      </c>
      <c r="E880" s="12">
        <v>1.8122988732935401E-3</v>
      </c>
      <c r="F880" s="8" t="s">
        <v>7211</v>
      </c>
      <c r="G880" s="12" t="s">
        <v>18421</v>
      </c>
      <c r="H880" s="12">
        <v>1</v>
      </c>
      <c r="I880" s="13" t="str">
        <f>HYPERLINK("http://www.ncbi.nlm.nih.gov/gene/3958", "3958")</f>
        <v>3958</v>
      </c>
      <c r="J880" s="12" t="s">
        <v>18422</v>
      </c>
      <c r="K880" s="12" t="s">
        <v>18423</v>
      </c>
      <c r="L880" s="13" t="str">
        <f>HYPERLINK("http://asia.ensembl.org/Homo_sapiens/Gene/Summary?g=ENSG00000131981", "ENSG00000131981")</f>
        <v>ENSG00000131981</v>
      </c>
      <c r="M880" s="12" t="s">
        <v>18424</v>
      </c>
      <c r="N880" s="12" t="s">
        <v>18425</v>
      </c>
    </row>
    <row r="881" spans="1:14">
      <c r="A881" s="12" t="s">
        <v>377</v>
      </c>
      <c r="B881" s="8">
        <v>50</v>
      </c>
      <c r="C881" s="12">
        <v>118.661890873945</v>
      </c>
      <c r="D881" s="8">
        <v>-1.24685667739923</v>
      </c>
      <c r="E881" s="12">
        <v>7.8620166084870103E-5</v>
      </c>
      <c r="F881" s="8" t="s">
        <v>378</v>
      </c>
      <c r="G881" s="12" t="s">
        <v>379</v>
      </c>
      <c r="H881" s="12">
        <v>1</v>
      </c>
      <c r="I881" s="13" t="str">
        <f>HYPERLINK("http://www.ncbi.nlm.nih.gov/gene/90135", "90135")</f>
        <v>90135</v>
      </c>
      <c r="J881" s="13" t="str">
        <f>HYPERLINK("http://www.ncbi.nlm.nih.gov/nuccore/NM_033271", "NM_033271")</f>
        <v>NM_033271</v>
      </c>
      <c r="K881" s="12" t="s">
        <v>380</v>
      </c>
      <c r="L881" s="13" t="str">
        <f>HYPERLINK("http://asia.ensembl.org/Homo_sapiens/Gene/Summary?g=ENSG00000184887", "ENSG00000184887")</f>
        <v>ENSG00000184887</v>
      </c>
      <c r="M881" s="12" t="s">
        <v>16316</v>
      </c>
      <c r="N881" s="12" t="s">
        <v>16317</v>
      </c>
    </row>
    <row r="882" spans="1:14">
      <c r="A882" s="12" t="s">
        <v>11675</v>
      </c>
      <c r="B882" s="8">
        <v>169.38023742378999</v>
      </c>
      <c r="C882" s="12">
        <v>401.83433146394998</v>
      </c>
      <c r="D882" s="8">
        <v>-1.2463352717943601</v>
      </c>
      <c r="E882" s="12">
        <v>1.10460416334638E-2</v>
      </c>
      <c r="F882" s="8" t="s">
        <v>38</v>
      </c>
      <c r="G882" s="12" t="s">
        <v>38</v>
      </c>
      <c r="H882" s="12">
        <v>1</v>
      </c>
      <c r="I882" s="12" t="s">
        <v>38</v>
      </c>
      <c r="J882" s="12" t="s">
        <v>38</v>
      </c>
      <c r="K882" s="12" t="s">
        <v>38</v>
      </c>
      <c r="L882" s="12" t="s">
        <v>11676</v>
      </c>
      <c r="M882" s="12" t="s">
        <v>11677</v>
      </c>
      <c r="N882" s="12" t="s">
        <v>11678</v>
      </c>
    </row>
    <row r="883" spans="1:14">
      <c r="A883" s="12" t="s">
        <v>7922</v>
      </c>
      <c r="B883" s="8">
        <v>1583.2856017315401</v>
      </c>
      <c r="C883" s="12">
        <v>3755.7830700859799</v>
      </c>
      <c r="D883" s="8">
        <v>-1.24619221672794</v>
      </c>
      <c r="E883" s="12">
        <v>8.5003927325153095E-3</v>
      </c>
      <c r="F883" s="8" t="s">
        <v>7923</v>
      </c>
      <c r="G883" s="12" t="s">
        <v>7924</v>
      </c>
      <c r="H883" s="12">
        <v>1</v>
      </c>
      <c r="I883" s="13" t="str">
        <f>HYPERLINK("http://www.ncbi.nlm.nih.gov/gene/84314", "84314")</f>
        <v>84314</v>
      </c>
      <c r="J883" s="12" t="s">
        <v>18670</v>
      </c>
      <c r="K883" s="12" t="s">
        <v>18671</v>
      </c>
      <c r="L883" s="13" t="str">
        <f>HYPERLINK("http://asia.ensembl.org/Homo_sapiens/Gene/Summary?g=ENSG00000179029", "ENSG00000179029")</f>
        <v>ENSG00000179029</v>
      </c>
      <c r="M883" s="12" t="s">
        <v>18672</v>
      </c>
      <c r="N883" s="12" t="s">
        <v>18673</v>
      </c>
    </row>
    <row r="884" spans="1:14">
      <c r="A884" s="12" t="s">
        <v>6948</v>
      </c>
      <c r="B884" s="8">
        <v>12311.517728970901</v>
      </c>
      <c r="C884" s="12">
        <v>29179.537186011799</v>
      </c>
      <c r="D884" s="8">
        <v>-1.24494837684563</v>
      </c>
      <c r="E884" s="12">
        <v>2.8668575399850402E-3</v>
      </c>
      <c r="F884" s="8" t="s">
        <v>6949</v>
      </c>
      <c r="G884" s="12" t="s">
        <v>6950</v>
      </c>
      <c r="H884" s="12">
        <v>1</v>
      </c>
      <c r="I884" s="13" t="str">
        <f>HYPERLINK("http://www.ncbi.nlm.nih.gov/gene/79022", "79022")</f>
        <v>79022</v>
      </c>
      <c r="J884" s="12" t="s">
        <v>18311</v>
      </c>
      <c r="K884" s="12" t="s">
        <v>18312</v>
      </c>
      <c r="L884" s="13" t="str">
        <f>HYPERLINK("http://asia.ensembl.org/Homo_sapiens/Gene/Summary?g=ENSG00000134291", "ENSG00000134291")</f>
        <v>ENSG00000134291</v>
      </c>
      <c r="M884" s="12" t="s">
        <v>18313</v>
      </c>
      <c r="N884" s="12" t="s">
        <v>18314</v>
      </c>
    </row>
    <row r="885" spans="1:14">
      <c r="A885" s="12" t="s">
        <v>9127</v>
      </c>
      <c r="B885" s="8">
        <v>157.10644286914101</v>
      </c>
      <c r="C885" s="12">
        <v>372.330498046184</v>
      </c>
      <c r="D885" s="8">
        <v>-1.2448414477816001</v>
      </c>
      <c r="E885" s="12">
        <v>3.0078390949365699E-3</v>
      </c>
      <c r="F885" s="8" t="s">
        <v>9128</v>
      </c>
      <c r="G885" s="12" t="s">
        <v>9129</v>
      </c>
      <c r="H885" s="12">
        <v>1</v>
      </c>
      <c r="I885" s="13" t="str">
        <f>HYPERLINK("http://www.ncbi.nlm.nih.gov/gene/84560", "84560")</f>
        <v>84560</v>
      </c>
      <c r="J885" s="13" t="str">
        <f>HYPERLINK("http://www.ncbi.nlm.nih.gov/nuccore/NM_032935", "NM_032935")</f>
        <v>NM_032935</v>
      </c>
      <c r="K885" s="12" t="s">
        <v>9130</v>
      </c>
      <c r="L885" s="13" t="str">
        <f>HYPERLINK("http://asia.ensembl.org/Homo_sapiens/Gene/Summary?g=ENSG00000102891", "ENSG00000102891")</f>
        <v>ENSG00000102891</v>
      </c>
      <c r="M885" s="12" t="s">
        <v>9131</v>
      </c>
      <c r="N885" s="12" t="s">
        <v>9132</v>
      </c>
    </row>
    <row r="886" spans="1:14">
      <c r="A886" s="12" t="s">
        <v>8847</v>
      </c>
      <c r="B886" s="8">
        <v>18590.8319256389</v>
      </c>
      <c r="C886" s="12">
        <v>44057.238264470703</v>
      </c>
      <c r="D886" s="8">
        <v>-1.24478773107572</v>
      </c>
      <c r="E886" s="12">
        <v>1.0205557959636E-2</v>
      </c>
      <c r="F886" s="8" t="s">
        <v>8848</v>
      </c>
      <c r="G886" s="12" t="s">
        <v>8849</v>
      </c>
      <c r="H886" s="12">
        <v>1</v>
      </c>
      <c r="I886" s="13" t="str">
        <f>HYPERLINK("http://www.ncbi.nlm.nih.gov/gene/1936", "1936")</f>
        <v>1936</v>
      </c>
      <c r="J886" s="12" t="s">
        <v>18973</v>
      </c>
      <c r="K886" s="12" t="s">
        <v>18974</v>
      </c>
      <c r="L886" s="13" t="str">
        <f>HYPERLINK("http://asia.ensembl.org/Homo_sapiens/Gene/Summary?g=ENSG00000273594", "ENSG00000273594")</f>
        <v>ENSG00000273594</v>
      </c>
      <c r="M886" s="12" t="s">
        <v>18975</v>
      </c>
      <c r="N886" s="12" t="s">
        <v>18976</v>
      </c>
    </row>
    <row r="887" spans="1:14">
      <c r="A887" s="12" t="s">
        <v>11395</v>
      </c>
      <c r="B887" s="8">
        <v>19116.6564422392</v>
      </c>
      <c r="C887" s="12">
        <v>45295.4438274309</v>
      </c>
      <c r="D887" s="8">
        <v>-1.2445357260335901</v>
      </c>
      <c r="E887" s="12">
        <v>5.6022923298671701E-3</v>
      </c>
      <c r="F887" s="8" t="s">
        <v>11180</v>
      </c>
      <c r="G887" s="12" t="s">
        <v>11181</v>
      </c>
      <c r="H887" s="12">
        <v>4</v>
      </c>
      <c r="I887" s="12" t="s">
        <v>11182</v>
      </c>
      <c r="J887" s="12" t="s">
        <v>11183</v>
      </c>
      <c r="K887" s="12" t="s">
        <v>11184</v>
      </c>
      <c r="L887" s="12" t="s">
        <v>11185</v>
      </c>
      <c r="M887" s="12" t="s">
        <v>20100</v>
      </c>
      <c r="N887" s="12" t="s">
        <v>20101</v>
      </c>
    </row>
    <row r="888" spans="1:14">
      <c r="A888" s="12" t="s">
        <v>9093</v>
      </c>
      <c r="B888" s="8">
        <v>4380.2263087251604</v>
      </c>
      <c r="C888" s="12">
        <v>10377.6405155341</v>
      </c>
      <c r="D888" s="8">
        <v>-1.2444011513507001</v>
      </c>
      <c r="E888" s="12">
        <v>4.0559584324996404E-3</v>
      </c>
      <c r="F888" s="8" t="s">
        <v>9094</v>
      </c>
      <c r="G888" s="12" t="s">
        <v>9095</v>
      </c>
      <c r="H888" s="12">
        <v>1</v>
      </c>
      <c r="I888" s="13" t="str">
        <f>HYPERLINK("http://www.ncbi.nlm.nih.gov/gene/126374", "126374")</f>
        <v>126374</v>
      </c>
      <c r="J888" s="13" t="str">
        <f>HYPERLINK("http://www.ncbi.nlm.nih.gov/nuccore/NM_001080436", "NM_001080436")</f>
        <v>NM_001080436</v>
      </c>
      <c r="K888" s="12" t="s">
        <v>9096</v>
      </c>
      <c r="L888" s="13" t="str">
        <f>HYPERLINK("http://asia.ensembl.org/Homo_sapiens/Gene/Summary?g=ENSG00000142279", "ENSG00000142279")</f>
        <v>ENSG00000142279</v>
      </c>
      <c r="M888" s="12" t="s">
        <v>19060</v>
      </c>
      <c r="N888" s="12" t="s">
        <v>19061</v>
      </c>
    </row>
    <row r="889" spans="1:14">
      <c r="A889" s="12" t="s">
        <v>2329</v>
      </c>
      <c r="B889" s="8">
        <v>159.107576614691</v>
      </c>
      <c r="C889" s="12">
        <v>376.89941254387202</v>
      </c>
      <c r="D889" s="8">
        <v>-1.24417700869659</v>
      </c>
      <c r="E889" s="12">
        <v>8.7205575739464E-4</v>
      </c>
      <c r="F889" s="8" t="s">
        <v>2330</v>
      </c>
      <c r="G889" s="12" t="s">
        <v>2331</v>
      </c>
      <c r="H889" s="12">
        <v>1</v>
      </c>
      <c r="I889" s="13" t="str">
        <f>HYPERLINK("http://www.ncbi.nlm.nih.gov/gene/84814", "84814")</f>
        <v>84814</v>
      </c>
      <c r="J889" s="13" t="str">
        <f>HYPERLINK("http://www.ncbi.nlm.nih.gov/nuccore/NM_032728", "NM_032728")</f>
        <v>NM_032728</v>
      </c>
      <c r="K889" s="12" t="s">
        <v>2332</v>
      </c>
      <c r="L889" s="13" t="str">
        <f>HYPERLINK("http://asia.ensembl.org/Homo_sapiens/Gene/Summary?g=ENSG00000160539", "ENSG00000160539")</f>
        <v>ENSG00000160539</v>
      </c>
      <c r="M889" s="12" t="s">
        <v>16974</v>
      </c>
      <c r="N889" s="12" t="s">
        <v>16975</v>
      </c>
    </row>
    <row r="890" spans="1:14">
      <c r="A890" s="12" t="s">
        <v>6704</v>
      </c>
      <c r="B890" s="8">
        <v>5030.5655724114904</v>
      </c>
      <c r="C890" s="12">
        <v>11911.755575413001</v>
      </c>
      <c r="D890" s="8">
        <v>-1.2435935433672201</v>
      </c>
      <c r="E890" s="12">
        <v>2.5237884846207401E-3</v>
      </c>
      <c r="F890" s="8" t="s">
        <v>6705</v>
      </c>
      <c r="G890" s="12" t="s">
        <v>6706</v>
      </c>
      <c r="H890" s="12">
        <v>1</v>
      </c>
      <c r="I890" s="13" t="str">
        <f>HYPERLINK("http://www.ncbi.nlm.nih.gov/gene/64960", "64960")</f>
        <v>64960</v>
      </c>
      <c r="J890" s="13" t="str">
        <f>HYPERLINK("http://www.ncbi.nlm.nih.gov/nuccore/NM_031280", "NM_031280")</f>
        <v>NM_031280</v>
      </c>
      <c r="K890" s="12" t="s">
        <v>6707</v>
      </c>
      <c r="L890" s="13" t="str">
        <f>HYPERLINK("http://asia.ensembl.org/Homo_sapiens/Gene/Summary?g=ENSG00000116898", "ENSG00000116898")</f>
        <v>ENSG00000116898</v>
      </c>
      <c r="M890" s="12" t="s">
        <v>18236</v>
      </c>
      <c r="N890" s="12" t="s">
        <v>6708</v>
      </c>
    </row>
    <row r="891" spans="1:14">
      <c r="A891" s="12" t="s">
        <v>8551</v>
      </c>
      <c r="B891" s="8">
        <v>89287.034245219795</v>
      </c>
      <c r="C891" s="12">
        <v>211337.70095962199</v>
      </c>
      <c r="D891" s="8">
        <v>-1.2430275598071701</v>
      </c>
      <c r="E891" s="12">
        <v>7.6873922688507901E-3</v>
      </c>
      <c r="F891" s="8" t="s">
        <v>8552</v>
      </c>
      <c r="G891" s="12" t="s">
        <v>8553</v>
      </c>
      <c r="H891" s="12">
        <v>4</v>
      </c>
      <c r="I891" s="12" t="s">
        <v>8554</v>
      </c>
      <c r="J891" s="12" t="s">
        <v>18906</v>
      </c>
      <c r="K891" s="12" t="s">
        <v>18907</v>
      </c>
      <c r="L891" s="13" t="str">
        <f>HYPERLINK("http://asia.ensembl.org/Homo_sapiens/Gene/Summary?g=ENSG00000140264", "ENSG00000140264")</f>
        <v>ENSG00000140264</v>
      </c>
      <c r="M891" s="12" t="s">
        <v>18908</v>
      </c>
      <c r="N891" s="12" t="s">
        <v>18909</v>
      </c>
    </row>
    <row r="892" spans="1:14">
      <c r="A892" s="12" t="s">
        <v>3044</v>
      </c>
      <c r="B892" s="8">
        <v>4722.5386523852603</v>
      </c>
      <c r="C892" s="12">
        <v>11177.169535684599</v>
      </c>
      <c r="D892" s="8">
        <v>-1.2429203820272401</v>
      </c>
      <c r="E892" s="12">
        <v>5.7599658114780095E-4</v>
      </c>
      <c r="F892" s="8" t="s">
        <v>3045</v>
      </c>
      <c r="G892" s="12" t="s">
        <v>3046</v>
      </c>
      <c r="H892" s="12">
        <v>1</v>
      </c>
      <c r="I892" s="13" t="str">
        <f>HYPERLINK("http://www.ncbi.nlm.nih.gov/gene/79002", "79002")</f>
        <v>79002</v>
      </c>
      <c r="J892" s="13" t="str">
        <f>HYPERLINK("http://www.ncbi.nlm.nih.gov/nuccore/NM_024038", "NM_024038")</f>
        <v>NM_024038</v>
      </c>
      <c r="K892" s="12" t="s">
        <v>3047</v>
      </c>
      <c r="L892" s="13" t="str">
        <f>HYPERLINK("http://asia.ensembl.org/Homo_sapiens/Gene/Summary?g=ENSG00000123144", "ENSG00000123144")</f>
        <v>ENSG00000123144</v>
      </c>
      <c r="M892" s="12" t="s">
        <v>17185</v>
      </c>
      <c r="N892" s="12" t="s">
        <v>17186</v>
      </c>
    </row>
    <row r="893" spans="1:14">
      <c r="A893" s="12" t="s">
        <v>5529</v>
      </c>
      <c r="B893" s="8">
        <v>10307.6223652921</v>
      </c>
      <c r="C893" s="12">
        <v>24392.260260089501</v>
      </c>
      <c r="D893" s="8">
        <v>-1.2427118607320899</v>
      </c>
      <c r="E893" s="12">
        <v>6.15151587350528E-3</v>
      </c>
      <c r="F893" s="8" t="s">
        <v>5530</v>
      </c>
      <c r="G893" s="12" t="s">
        <v>5531</v>
      </c>
      <c r="H893" s="12">
        <v>1</v>
      </c>
      <c r="I893" s="13" t="str">
        <f>HYPERLINK("http://www.ncbi.nlm.nih.gov/gene/7353", "7353")</f>
        <v>7353</v>
      </c>
      <c r="J893" s="12" t="s">
        <v>17894</v>
      </c>
      <c r="K893" s="12" t="s">
        <v>17895</v>
      </c>
      <c r="L893" s="13" t="str">
        <f>HYPERLINK("http://asia.ensembl.org/Homo_sapiens/Gene/Summary?g=ENSG00000070010", "ENSG00000070010")</f>
        <v>ENSG00000070010</v>
      </c>
      <c r="M893" s="12" t="s">
        <v>17896</v>
      </c>
      <c r="N893" s="12" t="s">
        <v>17897</v>
      </c>
    </row>
    <row r="894" spans="1:14">
      <c r="A894" s="12" t="s">
        <v>1864</v>
      </c>
      <c r="B894" s="8">
        <v>2138.5685414158002</v>
      </c>
      <c r="C894" s="12">
        <v>5060.31213367706</v>
      </c>
      <c r="D894" s="8">
        <v>-1.24258093044909</v>
      </c>
      <c r="E894" s="12">
        <v>3.8319293559003299E-4</v>
      </c>
      <c r="F894" s="8" t="s">
        <v>1865</v>
      </c>
      <c r="G894" s="12" t="s">
        <v>1866</v>
      </c>
      <c r="H894" s="12">
        <v>1</v>
      </c>
      <c r="I894" s="13" t="str">
        <f>HYPERLINK("http://www.ncbi.nlm.nih.gov/gene/51157", "51157")</f>
        <v>51157</v>
      </c>
      <c r="J894" s="12" t="s">
        <v>16809</v>
      </c>
      <c r="K894" s="12" t="s">
        <v>16810</v>
      </c>
      <c r="L894" s="13" t="str">
        <f>HYPERLINK("http://asia.ensembl.org/Homo_sapiens/Gene/Summary?g=ENSG00000213015", "ENSG00000213015")</f>
        <v>ENSG00000213015</v>
      </c>
      <c r="M894" s="12" t="s">
        <v>16811</v>
      </c>
      <c r="N894" s="12" t="s">
        <v>16812</v>
      </c>
    </row>
    <row r="895" spans="1:14">
      <c r="A895" s="12" t="s">
        <v>3520</v>
      </c>
      <c r="B895" s="8">
        <v>84.970770437005399</v>
      </c>
      <c r="C895" s="12">
        <v>201.042230895491</v>
      </c>
      <c r="D895" s="8">
        <v>-1.2424600344085599</v>
      </c>
      <c r="E895" s="12">
        <v>1.46454006242681E-2</v>
      </c>
      <c r="F895" s="8" t="s">
        <v>3521</v>
      </c>
      <c r="G895" s="12" t="s">
        <v>17334</v>
      </c>
      <c r="H895" s="12">
        <v>1</v>
      </c>
      <c r="I895" s="13" t="str">
        <f>HYPERLINK("http://www.ncbi.nlm.nih.gov/gene/6196", "6196")</f>
        <v>6196</v>
      </c>
      <c r="J895" s="12" t="s">
        <v>17335</v>
      </c>
      <c r="K895" s="12" t="s">
        <v>17336</v>
      </c>
      <c r="L895" s="13" t="str">
        <f>HYPERLINK("http://asia.ensembl.org/Homo_sapiens/Gene/Summary?g=ENSG00000071242", "ENSG00000071242")</f>
        <v>ENSG00000071242</v>
      </c>
      <c r="M895" s="12" t="s">
        <v>17337</v>
      </c>
      <c r="N895" s="12" t="s">
        <v>17338</v>
      </c>
    </row>
    <row r="896" spans="1:14">
      <c r="A896" s="12" t="s">
        <v>8598</v>
      </c>
      <c r="B896" s="8">
        <v>1136.5365456089401</v>
      </c>
      <c r="C896" s="12">
        <v>2688.5455195085101</v>
      </c>
      <c r="D896" s="8">
        <v>-1.24218182284128</v>
      </c>
      <c r="E896" s="12">
        <v>2.9578758856975201E-3</v>
      </c>
      <c r="F896" s="8" t="s">
        <v>5065</v>
      </c>
      <c r="G896" s="12" t="s">
        <v>17788</v>
      </c>
      <c r="H896" s="12">
        <v>1</v>
      </c>
      <c r="I896" s="13" t="str">
        <f>HYPERLINK("http://www.ncbi.nlm.nih.gov/gene/2537", "2537")</f>
        <v>2537</v>
      </c>
      <c r="J896" s="12" t="s">
        <v>18925</v>
      </c>
      <c r="K896" s="12" t="s">
        <v>18926</v>
      </c>
      <c r="L896" s="13" t="str">
        <f>HYPERLINK("http://asia.ensembl.org/Homo_sapiens/Gene/Summary?g=ENSG00000126709", "ENSG00000126709")</f>
        <v>ENSG00000126709</v>
      </c>
      <c r="M896" s="12" t="s">
        <v>17791</v>
      </c>
      <c r="N896" s="12" t="s">
        <v>17792</v>
      </c>
    </row>
    <row r="897" spans="1:14">
      <c r="A897" s="12" t="s">
        <v>8230</v>
      </c>
      <c r="B897" s="8">
        <v>3196.3860602087598</v>
      </c>
      <c r="C897" s="12">
        <v>7557.86261229301</v>
      </c>
      <c r="D897" s="8">
        <v>-1.2415366255449001</v>
      </c>
      <c r="E897" s="12">
        <v>3.0061252406247498E-3</v>
      </c>
      <c r="F897" s="8" t="s">
        <v>5739</v>
      </c>
      <c r="G897" s="12" t="s">
        <v>5740</v>
      </c>
      <c r="H897" s="12">
        <v>1</v>
      </c>
      <c r="I897" s="13" t="str">
        <f>HYPERLINK("http://www.ncbi.nlm.nih.gov/gene/25864", "25864")</f>
        <v>25864</v>
      </c>
      <c r="J897" s="13" t="str">
        <f>HYPERLINK("http://www.ncbi.nlm.nih.gov/nuccore/NM_015407", "NM_015407")</f>
        <v>NM_015407</v>
      </c>
      <c r="K897" s="12" t="s">
        <v>5741</v>
      </c>
      <c r="L897" s="13" t="str">
        <f>HYPERLINK("http://asia.ensembl.org/Homo_sapiens/Gene/Summary?g=ENSG00000248487", "ENSG00000248487")</f>
        <v>ENSG00000248487</v>
      </c>
      <c r="M897" s="12" t="s">
        <v>17959</v>
      </c>
      <c r="N897" s="12" t="s">
        <v>17960</v>
      </c>
    </row>
    <row r="898" spans="1:14">
      <c r="A898" s="12" t="s">
        <v>11384</v>
      </c>
      <c r="B898" s="8">
        <v>76.098204122209793</v>
      </c>
      <c r="C898" s="12">
        <v>179.896557161629</v>
      </c>
      <c r="D898" s="8">
        <v>-1.24123326433656</v>
      </c>
      <c r="E898" s="12">
        <v>4.4954880696039902E-2</v>
      </c>
      <c r="F898" s="8" t="s">
        <v>11385</v>
      </c>
      <c r="G898" s="12" t="s">
        <v>20099</v>
      </c>
      <c r="H898" s="12">
        <v>4</v>
      </c>
      <c r="I898" s="12" t="s">
        <v>11386</v>
      </c>
      <c r="J898" s="12" t="s">
        <v>11387</v>
      </c>
      <c r="K898" s="12" t="s">
        <v>11388</v>
      </c>
      <c r="L898" s="12" t="s">
        <v>11389</v>
      </c>
      <c r="M898" s="12" t="s">
        <v>11390</v>
      </c>
      <c r="N898" s="12" t="s">
        <v>11391</v>
      </c>
    </row>
    <row r="899" spans="1:14">
      <c r="A899" s="12" t="s">
        <v>11496</v>
      </c>
      <c r="B899" s="8">
        <v>18153.141597992199</v>
      </c>
      <c r="C899" s="12">
        <v>42894.113656764501</v>
      </c>
      <c r="D899" s="8">
        <v>-1.2405604369568199</v>
      </c>
      <c r="E899" s="12">
        <v>2.4847060434013898E-3</v>
      </c>
      <c r="F899" s="8" t="s">
        <v>7996</v>
      </c>
      <c r="G899" s="12" t="s">
        <v>7997</v>
      </c>
      <c r="H899" s="12">
        <v>1</v>
      </c>
      <c r="I899" s="13" t="str">
        <f>HYPERLINK("http://www.ncbi.nlm.nih.gov/gene/51023", "51023")</f>
        <v>51023</v>
      </c>
      <c r="J899" s="13" t="str">
        <f>HYPERLINK("http://www.ncbi.nlm.nih.gov/nuccore/NM_016067", "NM_016067")</f>
        <v>NM_016067</v>
      </c>
      <c r="K899" s="12" t="s">
        <v>7998</v>
      </c>
      <c r="L899" s="13" t="str">
        <f>HYPERLINK("http://asia.ensembl.org/Homo_sapiens/Gene/Summary?g=ENSG00000163319", "ENSG00000163319")</f>
        <v>ENSG00000163319</v>
      </c>
      <c r="M899" s="12" t="s">
        <v>20121</v>
      </c>
      <c r="N899" s="12" t="s">
        <v>20122</v>
      </c>
    </row>
    <row r="900" spans="1:14">
      <c r="A900" s="12" t="s">
        <v>935</v>
      </c>
      <c r="B900" s="8">
        <v>64.915194509972594</v>
      </c>
      <c r="C900" s="12">
        <v>153.36933092493399</v>
      </c>
      <c r="D900" s="8">
        <v>-1.24038190746387</v>
      </c>
      <c r="E900" s="12">
        <v>4.3726272393292402E-2</v>
      </c>
      <c r="F900" s="8" t="s">
        <v>936</v>
      </c>
      <c r="G900" s="12" t="s">
        <v>937</v>
      </c>
      <c r="H900" s="12">
        <v>1</v>
      </c>
      <c r="I900" s="13" t="str">
        <f>HYPERLINK("http://www.ncbi.nlm.nih.gov/gene/8436", "8436")</f>
        <v>8436</v>
      </c>
      <c r="J900" s="13" t="str">
        <f>HYPERLINK("http://www.ncbi.nlm.nih.gov/nuccore/NM_004657", "NM_004657")</f>
        <v>NM_004657</v>
      </c>
      <c r="K900" s="12" t="s">
        <v>938</v>
      </c>
      <c r="L900" s="13" t="str">
        <f>HYPERLINK("http://asia.ensembl.org/Homo_sapiens/Gene/Summary?g=ENSG00000168497", "ENSG00000168497")</f>
        <v>ENSG00000168497</v>
      </c>
      <c r="M900" s="12" t="s">
        <v>939</v>
      </c>
      <c r="N900" s="12" t="s">
        <v>940</v>
      </c>
    </row>
    <row r="901" spans="1:14">
      <c r="A901" s="12" t="s">
        <v>2031</v>
      </c>
      <c r="B901" s="8">
        <v>2647.6157211734799</v>
      </c>
      <c r="C901" s="12">
        <v>6255.1674951641999</v>
      </c>
      <c r="D901" s="8">
        <v>-1.24035477361221</v>
      </c>
      <c r="E901" s="12">
        <v>5.6577730721585296E-3</v>
      </c>
      <c r="F901" s="8" t="s">
        <v>2032</v>
      </c>
      <c r="G901" s="12" t="s">
        <v>16889</v>
      </c>
      <c r="H901" s="12">
        <v>1</v>
      </c>
      <c r="I901" s="13" t="str">
        <f>HYPERLINK("http://www.ncbi.nlm.nih.gov/gene/10632", "10632")</f>
        <v>10632</v>
      </c>
      <c r="J901" s="12" t="s">
        <v>16890</v>
      </c>
      <c r="K901" s="12" t="s">
        <v>16891</v>
      </c>
      <c r="L901" s="13" t="str">
        <f>HYPERLINK("http://asia.ensembl.org/Homo_sapiens/Gene/Summary?g=ENSG00000167283", "ENSG00000167283")</f>
        <v>ENSG00000167283</v>
      </c>
      <c r="M901" s="12" t="s">
        <v>16892</v>
      </c>
      <c r="N901" s="12" t="s">
        <v>16893</v>
      </c>
    </row>
    <row r="902" spans="1:14">
      <c r="A902" s="12" t="s">
        <v>7069</v>
      </c>
      <c r="B902" s="8">
        <v>38989.113437031701</v>
      </c>
      <c r="C902" s="12">
        <v>92107.813094614496</v>
      </c>
      <c r="D902" s="8">
        <v>-1.2402521888335301</v>
      </c>
      <c r="E902" s="12">
        <v>4.3726649900008201E-3</v>
      </c>
      <c r="F902" s="8" t="s">
        <v>7070</v>
      </c>
      <c r="G902" s="12" t="s">
        <v>7071</v>
      </c>
      <c r="H902" s="12">
        <v>4</v>
      </c>
      <c r="I902" s="12" t="s">
        <v>7072</v>
      </c>
      <c r="J902" s="12" t="s">
        <v>7073</v>
      </c>
      <c r="K902" s="12" t="s">
        <v>7074</v>
      </c>
      <c r="L902" s="12" t="s">
        <v>7075</v>
      </c>
      <c r="M902" s="12" t="s">
        <v>18356</v>
      </c>
      <c r="N902" s="12" t="s">
        <v>18357</v>
      </c>
    </row>
    <row r="903" spans="1:14">
      <c r="A903" s="12" t="s">
        <v>10879</v>
      </c>
      <c r="B903" s="8">
        <v>36309.575234824399</v>
      </c>
      <c r="C903" s="12">
        <v>85770.4091829557</v>
      </c>
      <c r="D903" s="8">
        <v>-1.24012995037539</v>
      </c>
      <c r="E903" s="12">
        <v>4.0160816469219001E-3</v>
      </c>
      <c r="F903" s="8" t="s">
        <v>1699</v>
      </c>
      <c r="G903" s="12" t="s">
        <v>1700</v>
      </c>
      <c r="H903" s="12">
        <v>1</v>
      </c>
      <c r="I903" s="13" t="str">
        <f>HYPERLINK("http://www.ncbi.nlm.nih.gov/gene/1603", "1603")</f>
        <v>1603</v>
      </c>
      <c r="J903" s="13" t="str">
        <f>HYPERLINK("http://www.ncbi.nlm.nih.gov/nuccore/NM_001344", "NM_001344")</f>
        <v>NM_001344</v>
      </c>
      <c r="K903" s="12" t="s">
        <v>1701</v>
      </c>
      <c r="L903" s="13" t="str">
        <f>HYPERLINK("http://asia.ensembl.org/Homo_sapiens/Gene/Summary?g=ENSG00000129562", "ENSG00000129562")</f>
        <v>ENSG00000129562</v>
      </c>
      <c r="M903" s="12" t="s">
        <v>19886</v>
      </c>
      <c r="N903" s="12" t="s">
        <v>19887</v>
      </c>
    </row>
    <row r="904" spans="1:14">
      <c r="A904" s="12" t="s">
        <v>9046</v>
      </c>
      <c r="B904" s="8">
        <v>33081.663901802996</v>
      </c>
      <c r="C904" s="12">
        <v>78117.961708180606</v>
      </c>
      <c r="D904" s="8">
        <v>-1.2396225069389799</v>
      </c>
      <c r="E904" s="12">
        <v>4.4062214646177697E-3</v>
      </c>
      <c r="F904" s="8" t="s">
        <v>6307</v>
      </c>
      <c r="G904" s="12" t="s">
        <v>6308</v>
      </c>
      <c r="H904" s="12">
        <v>1</v>
      </c>
      <c r="I904" s="13" t="str">
        <f>HYPERLINK("http://www.ncbi.nlm.nih.gov/gene/6150", "6150")</f>
        <v>6150</v>
      </c>
      <c r="J904" s="13" t="str">
        <f>HYPERLINK("http://www.ncbi.nlm.nih.gov/nuccore/NM_021134", "NM_021134")</f>
        <v>NM_021134</v>
      </c>
      <c r="K904" s="12" t="s">
        <v>6309</v>
      </c>
      <c r="L904" s="13" t="str">
        <f>HYPERLINK("http://asia.ensembl.org/Homo_sapiens/Gene/Summary?g=ENSG00000214026", "ENSG00000214026")</f>
        <v>ENSG00000214026</v>
      </c>
      <c r="M904" s="12" t="s">
        <v>18113</v>
      </c>
      <c r="N904" s="12" t="s">
        <v>18114</v>
      </c>
    </row>
    <row r="905" spans="1:14">
      <c r="A905" s="12" t="s">
        <v>576</v>
      </c>
      <c r="B905" s="8">
        <v>358.59848974631899</v>
      </c>
      <c r="C905" s="12">
        <v>846.38884231093698</v>
      </c>
      <c r="D905" s="8">
        <v>-1.2389511967193301</v>
      </c>
      <c r="E905" s="12">
        <v>4.5323156024257301E-2</v>
      </c>
      <c r="F905" s="8" t="s">
        <v>577</v>
      </c>
      <c r="G905" s="12" t="s">
        <v>578</v>
      </c>
      <c r="H905" s="12">
        <v>1</v>
      </c>
      <c r="I905" s="13" t="str">
        <f>HYPERLINK("http://www.ncbi.nlm.nih.gov/gene/79370", "79370")</f>
        <v>79370</v>
      </c>
      <c r="J905" s="12" t="s">
        <v>16383</v>
      </c>
      <c r="K905" s="12" t="s">
        <v>16384</v>
      </c>
      <c r="L905" s="13" t="str">
        <f>HYPERLINK("http://asia.ensembl.org/Homo_sapiens/Gene/Summary?g=ENSG00000281449", "ENSG00000281449")</f>
        <v>ENSG00000281449</v>
      </c>
      <c r="M905" s="12" t="s">
        <v>16385</v>
      </c>
      <c r="N905" s="12" t="s">
        <v>16386</v>
      </c>
    </row>
    <row r="906" spans="1:14">
      <c r="A906" s="12" t="s">
        <v>1753</v>
      </c>
      <c r="B906" s="8">
        <v>31216.583779062599</v>
      </c>
      <c r="C906" s="12">
        <v>73674.179067322504</v>
      </c>
      <c r="D906" s="8">
        <v>-1.2388464168073099</v>
      </c>
      <c r="E906" s="12">
        <v>3.2609903612023199E-3</v>
      </c>
      <c r="F906" s="8" t="s">
        <v>1754</v>
      </c>
      <c r="G906" s="12" t="s">
        <v>16786</v>
      </c>
      <c r="H906" s="12">
        <v>1</v>
      </c>
      <c r="I906" s="13" t="str">
        <f>HYPERLINK("http://www.ncbi.nlm.nih.gov/gene/521", "521")</f>
        <v>521</v>
      </c>
      <c r="J906" s="12" t="s">
        <v>16787</v>
      </c>
      <c r="K906" s="12" t="s">
        <v>16788</v>
      </c>
      <c r="L906" s="13" t="str">
        <f>HYPERLINK("http://asia.ensembl.org/Homo_sapiens/Gene/Summary?g=ENSG00000169020", "ENSG00000169020")</f>
        <v>ENSG00000169020</v>
      </c>
      <c r="M906" s="12" t="s">
        <v>16789</v>
      </c>
      <c r="N906" s="12" t="s">
        <v>1755</v>
      </c>
    </row>
    <row r="907" spans="1:14">
      <c r="A907" s="12" t="s">
        <v>9614</v>
      </c>
      <c r="B907" s="8">
        <v>175.81077870430201</v>
      </c>
      <c r="C907" s="12">
        <v>414.91199534939102</v>
      </c>
      <c r="D907" s="8">
        <v>-1.23878184423617</v>
      </c>
      <c r="E907" s="12">
        <v>1.39447867242244E-2</v>
      </c>
      <c r="F907" s="8" t="s">
        <v>1639</v>
      </c>
      <c r="G907" s="12" t="s">
        <v>1640</v>
      </c>
      <c r="H907" s="12">
        <v>1</v>
      </c>
      <c r="I907" s="13" t="str">
        <f>HYPERLINK("http://www.ncbi.nlm.nih.gov/gene/4753", "4753")</f>
        <v>4753</v>
      </c>
      <c r="J907" s="12" t="s">
        <v>16723</v>
      </c>
      <c r="K907" s="12" t="s">
        <v>16724</v>
      </c>
      <c r="L907" s="13" t="str">
        <f>HYPERLINK("http://asia.ensembl.org/Homo_sapiens/Gene/Summary?g=ENSG00000184613", "ENSG00000184613")</f>
        <v>ENSG00000184613</v>
      </c>
      <c r="M907" s="12" t="s">
        <v>16725</v>
      </c>
      <c r="N907" s="12" t="s">
        <v>16726</v>
      </c>
    </row>
    <row r="908" spans="1:14">
      <c r="A908" s="12" t="s">
        <v>5891</v>
      </c>
      <c r="B908" s="8">
        <v>71.290539654725904</v>
      </c>
      <c r="C908" s="12">
        <v>168.20751431559901</v>
      </c>
      <c r="D908" s="8">
        <v>-1.2384596093712501</v>
      </c>
      <c r="E908" s="12">
        <v>4.6298849562684E-2</v>
      </c>
      <c r="F908" s="8" t="s">
        <v>5892</v>
      </c>
      <c r="G908" s="12" t="s">
        <v>5893</v>
      </c>
      <c r="H908" s="12">
        <v>1</v>
      </c>
      <c r="I908" s="13" t="str">
        <f>HYPERLINK("http://www.ncbi.nlm.nih.gov/gene/222389", "222389")</f>
        <v>222389</v>
      </c>
      <c r="J908" s="13" t="str">
        <f>HYPERLINK("http://www.ncbi.nlm.nih.gov/nuccore/NM_152751", "NM_152751")</f>
        <v>NM_152751</v>
      </c>
      <c r="K908" s="12" t="s">
        <v>5894</v>
      </c>
      <c r="L908" s="13" t="str">
        <f>HYPERLINK("http://asia.ensembl.org/Homo_sapiens/Gene/Summary?g=ENSG00000165626", "ENSG00000165626")</f>
        <v>ENSG00000165626</v>
      </c>
      <c r="M908" s="12" t="s">
        <v>18005</v>
      </c>
      <c r="N908" s="12" t="s">
        <v>18006</v>
      </c>
    </row>
    <row r="909" spans="1:14">
      <c r="A909" s="12" t="s">
        <v>7735</v>
      </c>
      <c r="B909" s="8">
        <v>79409.699255876199</v>
      </c>
      <c r="C909" s="12">
        <v>187327.17174198601</v>
      </c>
      <c r="D909" s="8">
        <v>-1.23817304034444</v>
      </c>
      <c r="E909" s="12">
        <v>3.6421464352496299E-3</v>
      </c>
      <c r="F909" s="8" t="s">
        <v>7736</v>
      </c>
      <c r="G909" s="12" t="s">
        <v>286</v>
      </c>
      <c r="H909" s="12">
        <v>1</v>
      </c>
      <c r="I909" s="13" t="str">
        <f>HYPERLINK("http://www.ncbi.nlm.nih.gov/gene/51079", "51079")</f>
        <v>51079</v>
      </c>
      <c r="J909" s="13" t="str">
        <f>HYPERLINK("http://www.ncbi.nlm.nih.gov/nuccore/NM_015965", "NM_015965")</f>
        <v>NM_015965</v>
      </c>
      <c r="K909" s="12" t="s">
        <v>7737</v>
      </c>
      <c r="L909" s="13" t="str">
        <f>HYPERLINK("http://asia.ensembl.org/Homo_sapiens/Gene/Summary?g=ENSG00000186010", "ENSG00000186010")</f>
        <v>ENSG00000186010</v>
      </c>
      <c r="M909" s="12" t="s">
        <v>18629</v>
      </c>
      <c r="N909" s="12" t="s">
        <v>18630</v>
      </c>
    </row>
    <row r="910" spans="1:14">
      <c r="A910" s="12" t="s">
        <v>6024</v>
      </c>
      <c r="B910" s="8">
        <v>80.292617998857807</v>
      </c>
      <c r="C910" s="12">
        <v>189.390438425816</v>
      </c>
      <c r="D910" s="8">
        <v>-1.2380242372724899</v>
      </c>
      <c r="E910" s="12">
        <v>9.0716041921287491E-3</v>
      </c>
      <c r="F910" s="8" t="s">
        <v>6025</v>
      </c>
      <c r="G910" s="12" t="s">
        <v>6026</v>
      </c>
      <c r="H910" s="12">
        <v>1</v>
      </c>
      <c r="I910" s="13" t="str">
        <f>HYPERLINK("http://www.ncbi.nlm.nih.gov/gene/92106", "92106")</f>
        <v>92106</v>
      </c>
      <c r="J910" s="13" t="str">
        <f>HYPERLINK("http://www.ncbi.nlm.nih.gov/nuccore/NM_138381", "NM_138381")</f>
        <v>NM_138381</v>
      </c>
      <c r="K910" s="12" t="s">
        <v>6027</v>
      </c>
      <c r="L910" s="13" t="str">
        <f>HYPERLINK("http://asia.ensembl.org/Homo_sapiens/Gene/Summary?g=ENSG00000154814", "ENSG00000154814")</f>
        <v>ENSG00000154814</v>
      </c>
      <c r="M910" s="12" t="s">
        <v>18035</v>
      </c>
      <c r="N910" s="12" t="s">
        <v>18036</v>
      </c>
    </row>
    <row r="911" spans="1:14">
      <c r="A911" s="12" t="s">
        <v>11120</v>
      </c>
      <c r="B911" s="8">
        <v>52.926597634558597</v>
      </c>
      <c r="C911" s="12">
        <v>124.76499400487999</v>
      </c>
      <c r="D911" s="8">
        <v>-1.23714838717159</v>
      </c>
      <c r="E911" s="12">
        <v>2.6705094411123599E-3</v>
      </c>
      <c r="F911" s="8" t="s">
        <v>5707</v>
      </c>
      <c r="G911" s="12" t="s">
        <v>5708</v>
      </c>
      <c r="H911" s="12">
        <v>1</v>
      </c>
      <c r="I911" s="13" t="str">
        <f>HYPERLINK("http://www.ncbi.nlm.nih.gov/gene/23339", "23339")</f>
        <v>23339</v>
      </c>
      <c r="J911" s="13" t="str">
        <f>HYPERLINK("http://www.ncbi.nlm.nih.gov/nuccore/NM_015289", "NM_015289")</f>
        <v>NM_015289</v>
      </c>
      <c r="K911" s="12" t="s">
        <v>5709</v>
      </c>
      <c r="L911" s="13" t="str">
        <f>HYPERLINK("http://asia.ensembl.org/Homo_sapiens/Gene/Summary?g=ENSG00000166887", "ENSG00000166887")</f>
        <v>ENSG00000166887</v>
      </c>
      <c r="M911" s="12" t="s">
        <v>19978</v>
      </c>
      <c r="N911" s="12" t="s">
        <v>19979</v>
      </c>
    </row>
    <row r="912" spans="1:14">
      <c r="A912" s="12" t="s">
        <v>8265</v>
      </c>
      <c r="B912" s="8">
        <v>5784.0536638213498</v>
      </c>
      <c r="C912" s="12">
        <v>13630.199640855701</v>
      </c>
      <c r="D912" s="8">
        <v>-1.2366538507487499</v>
      </c>
      <c r="E912" s="12">
        <v>2.0146994119372799E-3</v>
      </c>
      <c r="F912" s="8" t="s">
        <v>5996</v>
      </c>
      <c r="G912" s="12" t="s">
        <v>18756</v>
      </c>
      <c r="H912" s="12">
        <v>1</v>
      </c>
      <c r="I912" s="13" t="str">
        <f>HYPERLINK("http://www.ncbi.nlm.nih.gov/gene/84191", "84191")</f>
        <v>84191</v>
      </c>
      <c r="J912" s="12" t="s">
        <v>18757</v>
      </c>
      <c r="K912" s="12" t="s">
        <v>18758</v>
      </c>
      <c r="L912" s="13" t="str">
        <f>HYPERLINK("http://asia.ensembl.org/Homo_sapiens/Gene/Summary?g=ENSG00000166797", "ENSG00000166797")</f>
        <v>ENSG00000166797</v>
      </c>
      <c r="M912" s="12" t="s">
        <v>18759</v>
      </c>
      <c r="N912" s="12" t="s">
        <v>18760</v>
      </c>
    </row>
    <row r="913" spans="1:14">
      <c r="A913" s="12" t="s">
        <v>9310</v>
      </c>
      <c r="B913" s="8">
        <v>202.981023318708</v>
      </c>
      <c r="C913" s="12">
        <v>478.21648109026199</v>
      </c>
      <c r="D913" s="8">
        <v>-1.2363189951987199</v>
      </c>
      <c r="E913" s="12">
        <v>1.53507387056728E-3</v>
      </c>
      <c r="F913" s="8" t="s">
        <v>9311</v>
      </c>
      <c r="G913" s="12" t="s">
        <v>9312</v>
      </c>
      <c r="H913" s="12">
        <v>1</v>
      </c>
      <c r="I913" s="13" t="str">
        <f>HYPERLINK("http://www.ncbi.nlm.nih.gov/gene/387718", "387718")</f>
        <v>387718</v>
      </c>
      <c r="J913" s="13" t="str">
        <f>HYPERLINK("http://www.ncbi.nlm.nih.gov/nuccore/NM_001128202", "NM_001128202")</f>
        <v>NM_001128202</v>
      </c>
      <c r="K913" s="12" t="s">
        <v>9313</v>
      </c>
      <c r="L913" s="13" t="str">
        <f>HYPERLINK("http://asia.ensembl.org/Homo_sapiens/Gene/Summary?g=ENSG00000175018", "ENSG00000175018")</f>
        <v>ENSG00000175018</v>
      </c>
      <c r="M913" s="12" t="s">
        <v>19122</v>
      </c>
      <c r="N913" s="12" t="s">
        <v>19123</v>
      </c>
    </row>
    <row r="914" spans="1:14">
      <c r="A914" s="12" t="s">
        <v>6820</v>
      </c>
      <c r="B914" s="8">
        <v>12909.737232333</v>
      </c>
      <c r="C914" s="12">
        <v>30402.6002330675</v>
      </c>
      <c r="D914" s="8">
        <v>-1.23573508183633</v>
      </c>
      <c r="E914" s="12">
        <v>4.7639339594027601E-3</v>
      </c>
      <c r="F914" s="8" t="s">
        <v>6821</v>
      </c>
      <c r="G914" s="12" t="s">
        <v>6822</v>
      </c>
      <c r="H914" s="12">
        <v>1</v>
      </c>
      <c r="I914" s="13" t="str">
        <f>HYPERLINK("http://www.ncbi.nlm.nih.gov/gene/9636", "9636")</f>
        <v>9636</v>
      </c>
      <c r="J914" s="13" t="str">
        <f>HYPERLINK("http://www.ncbi.nlm.nih.gov/nuccore/NM_005101", "NM_005101")</f>
        <v>NM_005101</v>
      </c>
      <c r="K914" s="12" t="s">
        <v>6823</v>
      </c>
      <c r="L914" s="13" t="str">
        <f>HYPERLINK("http://asia.ensembl.org/Homo_sapiens/Gene/Summary?g=ENSG00000187608", "ENSG00000187608")</f>
        <v>ENSG00000187608</v>
      </c>
      <c r="M914" s="12" t="s">
        <v>18271</v>
      </c>
      <c r="N914" s="12" t="s">
        <v>18272</v>
      </c>
    </row>
    <row r="915" spans="1:14">
      <c r="A915" s="12" t="s">
        <v>1399</v>
      </c>
      <c r="B915" s="8">
        <v>49.999999999999901</v>
      </c>
      <c r="C915" s="12">
        <v>117.731195007428</v>
      </c>
      <c r="D915" s="8">
        <v>-1.2354966391491899</v>
      </c>
      <c r="E915" s="12">
        <v>3.2732102324127101E-5</v>
      </c>
      <c r="F915" s="8" t="s">
        <v>1400</v>
      </c>
      <c r="G915" s="12" t="s">
        <v>1401</v>
      </c>
      <c r="H915" s="12">
        <v>1</v>
      </c>
      <c r="I915" s="13" t="str">
        <f>HYPERLINK("http://www.ncbi.nlm.nih.gov/gene/23643", "23643")</f>
        <v>23643</v>
      </c>
      <c r="J915" s="12" t="s">
        <v>16613</v>
      </c>
      <c r="K915" s="12" t="s">
        <v>16614</v>
      </c>
      <c r="L915" s="13" t="str">
        <f>HYPERLINK("http://asia.ensembl.org/Homo_sapiens/Gene/Summary?g=ENSG00000154589", "ENSG00000154589")</f>
        <v>ENSG00000154589</v>
      </c>
      <c r="M915" s="12" t="s">
        <v>16615</v>
      </c>
      <c r="N915" s="12" t="s">
        <v>16616</v>
      </c>
    </row>
    <row r="916" spans="1:14">
      <c r="A916" s="12" t="s">
        <v>3153</v>
      </c>
      <c r="B916" s="8">
        <v>7504.1748047778601</v>
      </c>
      <c r="C916" s="12">
        <v>17657.612655353001</v>
      </c>
      <c r="D916" s="8">
        <v>-1.2345249609259501</v>
      </c>
      <c r="E916" s="12">
        <v>1.1838171592136701E-2</v>
      </c>
      <c r="F916" s="8" t="s">
        <v>3154</v>
      </c>
      <c r="G916" s="12" t="s">
        <v>3155</v>
      </c>
      <c r="H916" s="12">
        <v>1</v>
      </c>
      <c r="I916" s="13" t="str">
        <f>HYPERLINK("http://www.ncbi.nlm.nih.gov/gene/10101", "10101")</f>
        <v>10101</v>
      </c>
      <c r="J916" s="13" t="str">
        <f>HYPERLINK("http://www.ncbi.nlm.nih.gov/nuccore/NM_012225", "NM_012225")</f>
        <v>NM_012225</v>
      </c>
      <c r="K916" s="12" t="s">
        <v>3156</v>
      </c>
      <c r="L916" s="13" t="str">
        <f>HYPERLINK("http://asia.ensembl.org/Homo_sapiens/Gene/Summary?g=ENSG00000095906", "ENSG00000095906")</f>
        <v>ENSG00000095906</v>
      </c>
      <c r="M916" s="12" t="s">
        <v>17222</v>
      </c>
      <c r="N916" s="12" t="s">
        <v>17223</v>
      </c>
    </row>
    <row r="917" spans="1:14">
      <c r="A917" s="12" t="s">
        <v>11201</v>
      </c>
      <c r="B917" s="8">
        <v>1594.4307117273199</v>
      </c>
      <c r="C917" s="12">
        <v>3751.7044174697098</v>
      </c>
      <c r="D917" s="8">
        <v>-1.2345047633014401</v>
      </c>
      <c r="E917" s="12">
        <v>3.7869947683301102E-3</v>
      </c>
      <c r="F917" s="8" t="s">
        <v>7680</v>
      </c>
      <c r="G917" s="12" t="s">
        <v>7681</v>
      </c>
      <c r="H917" s="12">
        <v>1</v>
      </c>
      <c r="I917" s="13" t="str">
        <f>HYPERLINK("http://www.ncbi.nlm.nih.gov/gene/388611", "388611")</f>
        <v>388611</v>
      </c>
      <c r="J917" s="13" t="str">
        <f>HYPERLINK("http://www.ncbi.nlm.nih.gov/nuccore/NM_207397", "NM_207397")</f>
        <v>NM_207397</v>
      </c>
      <c r="K917" s="12" t="s">
        <v>7682</v>
      </c>
      <c r="L917" s="13" t="str">
        <f>HYPERLINK("http://asia.ensembl.org/Homo_sapiens/Gene/Summary?g=ENSG00000174950", "ENSG00000174950")</f>
        <v>ENSG00000174950</v>
      </c>
      <c r="M917" s="12" t="s">
        <v>20005</v>
      </c>
      <c r="N917" s="12" t="s">
        <v>20006</v>
      </c>
    </row>
    <row r="918" spans="1:14">
      <c r="A918" s="12" t="s">
        <v>9440</v>
      </c>
      <c r="B918" s="8">
        <v>67685.809532073006</v>
      </c>
      <c r="C918" s="12">
        <v>159216.06511013099</v>
      </c>
      <c r="D918" s="8">
        <v>-1.2340606063923201</v>
      </c>
      <c r="E918" s="12">
        <v>3.8531247996030698E-3</v>
      </c>
      <c r="F918" s="8" t="s">
        <v>9441</v>
      </c>
      <c r="G918" s="12" t="s">
        <v>19157</v>
      </c>
      <c r="H918" s="12">
        <v>4</v>
      </c>
      <c r="I918" s="12" t="s">
        <v>9442</v>
      </c>
      <c r="J918" s="12" t="s">
        <v>19158</v>
      </c>
      <c r="K918" s="12" t="s">
        <v>19159</v>
      </c>
      <c r="L918" s="13" t="str">
        <f>HYPERLINK("http://asia.ensembl.org/Homo_sapiens/Gene/Summary?g=ENSG00000219200", "ENSG00000219200")</f>
        <v>ENSG00000219200</v>
      </c>
      <c r="M918" s="12" t="s">
        <v>19160</v>
      </c>
      <c r="N918" s="12" t="s">
        <v>19161</v>
      </c>
    </row>
    <row r="919" spans="1:14">
      <c r="A919" s="12" t="s">
        <v>5859</v>
      </c>
      <c r="B919" s="8">
        <v>917.44145877546305</v>
      </c>
      <c r="C919" s="12">
        <v>2157.4254331746802</v>
      </c>
      <c r="D919" s="8">
        <v>-1.2336226878186101</v>
      </c>
      <c r="E919" s="12">
        <v>4.5508203458632301E-3</v>
      </c>
      <c r="F919" s="8" t="s">
        <v>5860</v>
      </c>
      <c r="G919" s="12" t="s">
        <v>5861</v>
      </c>
      <c r="H919" s="12">
        <v>1</v>
      </c>
      <c r="I919" s="13" t="str">
        <f>HYPERLINK("http://www.ncbi.nlm.nih.gov/gene/124045", "124045")</f>
        <v>124045</v>
      </c>
      <c r="J919" s="12" t="s">
        <v>17993</v>
      </c>
      <c r="K919" s="12" t="s">
        <v>17994</v>
      </c>
      <c r="L919" s="13" t="str">
        <f>HYPERLINK("http://asia.ensembl.org/Homo_sapiens/Gene/Summary?g=ENSG00000167523", "ENSG00000167523")</f>
        <v>ENSG00000167523</v>
      </c>
      <c r="M919" s="12" t="s">
        <v>17995</v>
      </c>
      <c r="N919" s="12" t="s">
        <v>17996</v>
      </c>
    </row>
    <row r="920" spans="1:14">
      <c r="A920" s="12" t="s">
        <v>6731</v>
      </c>
      <c r="B920" s="8">
        <v>4640.2504520750599</v>
      </c>
      <c r="C920" s="12">
        <v>10907.748226964701</v>
      </c>
      <c r="D920" s="8">
        <v>-1.2330787250720201</v>
      </c>
      <c r="E920" s="12">
        <v>5.48670026657571E-3</v>
      </c>
      <c r="F920" s="8" t="s">
        <v>6732</v>
      </c>
      <c r="G920" s="12" t="s">
        <v>18245</v>
      </c>
      <c r="H920" s="12">
        <v>1</v>
      </c>
      <c r="I920" s="13" t="str">
        <f>HYPERLINK("http://www.ncbi.nlm.nih.gov/gene/285550", "285550")</f>
        <v>285550</v>
      </c>
      <c r="J920" s="13" t="str">
        <f>HYPERLINK("http://www.ncbi.nlm.nih.gov/nuccore/NM_001145191", "NM_001145191")</f>
        <v>NM_001145191</v>
      </c>
      <c r="K920" s="12" t="s">
        <v>6733</v>
      </c>
      <c r="L920" s="13" t="str">
        <f>HYPERLINK("http://asia.ensembl.org/Homo_sapiens/Gene/Summary?g=ENSG00000237765", "ENSG00000237765")</f>
        <v>ENSG00000237765</v>
      </c>
      <c r="M920" s="12" t="s">
        <v>18246</v>
      </c>
      <c r="N920" s="12" t="s">
        <v>18247</v>
      </c>
    </row>
    <row r="921" spans="1:14">
      <c r="A921" s="12" t="s">
        <v>1955</v>
      </c>
      <c r="B921" s="8">
        <v>2216.9501873341301</v>
      </c>
      <c r="C921" s="12">
        <v>5210.0378520697504</v>
      </c>
      <c r="D921" s="8">
        <v>-1.2327174993916801</v>
      </c>
      <c r="E921" s="12">
        <v>7.5138363023091598E-3</v>
      </c>
      <c r="F921" s="8" t="s">
        <v>1956</v>
      </c>
      <c r="G921" s="12" t="s">
        <v>16854</v>
      </c>
      <c r="H921" s="12">
        <v>1</v>
      </c>
      <c r="I921" s="13" t="str">
        <f>HYPERLINK("http://www.ncbi.nlm.nih.gov/gene/5947", "5947")</f>
        <v>5947</v>
      </c>
      <c r="J921" s="13" t="str">
        <f>HYPERLINK("http://www.ncbi.nlm.nih.gov/nuccore/NM_002899", "NM_002899")</f>
        <v>NM_002899</v>
      </c>
      <c r="K921" s="12" t="s">
        <v>1957</v>
      </c>
      <c r="L921" s="13" t="str">
        <f>HYPERLINK("http://asia.ensembl.org/Homo_sapiens/Gene/Summary?g=ENSG00000114115", "ENSG00000114115")</f>
        <v>ENSG00000114115</v>
      </c>
      <c r="M921" s="12" t="s">
        <v>16855</v>
      </c>
      <c r="N921" s="12" t="s">
        <v>16856</v>
      </c>
    </row>
    <row r="922" spans="1:14">
      <c r="A922" s="12" t="s">
        <v>11480</v>
      </c>
      <c r="B922" s="8">
        <v>124.272888559808</v>
      </c>
      <c r="C922" s="12">
        <v>291.98878379455198</v>
      </c>
      <c r="D922" s="8">
        <v>-1.23240136013461</v>
      </c>
      <c r="E922" s="12">
        <v>1.10268509231833E-3</v>
      </c>
      <c r="F922" s="8" t="s">
        <v>11481</v>
      </c>
      <c r="G922" s="12" t="s">
        <v>11482</v>
      </c>
      <c r="H922" s="12">
        <v>1</v>
      </c>
      <c r="I922" s="13" t="str">
        <f>HYPERLINK("http://www.ncbi.nlm.nih.gov/gene/100507381", "100507381")</f>
        <v>100507381</v>
      </c>
      <c r="J922" s="13" t="str">
        <f>HYPERLINK("http://www.ncbi.nlm.nih.gov/nuccore/NR_120503", "NR_120503")</f>
        <v>NR_120503</v>
      </c>
      <c r="K922" s="12" t="s">
        <v>199</v>
      </c>
      <c r="L922" s="13" t="str">
        <f>HYPERLINK("http://asia.ensembl.org/Homo_sapiens/Gene/Summary?g=ENSG00000233844", "ENSG00000233844")</f>
        <v>ENSG00000233844</v>
      </c>
      <c r="M922" s="12" t="s">
        <v>11483</v>
      </c>
    </row>
    <row r="923" spans="1:14">
      <c r="A923" s="12" t="s">
        <v>1524</v>
      </c>
      <c r="B923" s="8">
        <v>2822.9573504810401</v>
      </c>
      <c r="C923" s="12">
        <v>6629.0065222826297</v>
      </c>
      <c r="D923" s="8">
        <v>-1.23158533976009</v>
      </c>
      <c r="E923" s="12">
        <v>2.2565686412483101E-3</v>
      </c>
      <c r="F923" s="8" t="s">
        <v>1525</v>
      </c>
      <c r="G923" s="12" t="s">
        <v>1526</v>
      </c>
      <c r="H923" s="12">
        <v>1</v>
      </c>
      <c r="I923" s="13" t="str">
        <f>HYPERLINK("http://www.ncbi.nlm.nih.gov/gene/92840", "92840")</f>
        <v>92840</v>
      </c>
      <c r="J923" s="13" t="str">
        <f>HYPERLINK("http://www.ncbi.nlm.nih.gov/nuccore/NM_138393", "NM_138393")</f>
        <v>NM_138393</v>
      </c>
      <c r="K923" s="12" t="s">
        <v>1527</v>
      </c>
      <c r="L923" s="13" t="str">
        <f>HYPERLINK("http://asia.ensembl.org/Homo_sapiens/Gene/Summary?g=ENSG00000115255", "ENSG00000115255")</f>
        <v>ENSG00000115255</v>
      </c>
      <c r="M923" s="12" t="s">
        <v>16662</v>
      </c>
      <c r="N923" s="12" t="s">
        <v>16663</v>
      </c>
    </row>
    <row r="924" spans="1:14">
      <c r="A924" s="12" t="s">
        <v>4866</v>
      </c>
      <c r="B924" s="8">
        <v>7664.2414900707399</v>
      </c>
      <c r="C924" s="12">
        <v>17988.174664680198</v>
      </c>
      <c r="D924" s="8">
        <v>-1.2308338734090201</v>
      </c>
      <c r="E924" s="12">
        <v>3.3286754707416099E-3</v>
      </c>
      <c r="F924" s="8" t="s">
        <v>4867</v>
      </c>
      <c r="G924" s="12" t="s">
        <v>17749</v>
      </c>
      <c r="H924" s="12">
        <v>1</v>
      </c>
      <c r="I924" s="13" t="str">
        <f>HYPERLINK("http://www.ncbi.nlm.nih.gov/gene/1211", "1211")</f>
        <v>1211</v>
      </c>
      <c r="J924" s="12" t="s">
        <v>17750</v>
      </c>
      <c r="K924" s="12" t="s">
        <v>17751</v>
      </c>
      <c r="L924" s="13" t="str">
        <f>HYPERLINK("http://asia.ensembl.org/Homo_sapiens/Gene/Summary?g=ENSG00000122705", "ENSG00000122705")</f>
        <v>ENSG00000122705</v>
      </c>
      <c r="M924" s="12" t="s">
        <v>17752</v>
      </c>
      <c r="N924" s="12" t="s">
        <v>17753</v>
      </c>
    </row>
    <row r="925" spans="1:14">
      <c r="A925" s="12" t="s">
        <v>8243</v>
      </c>
      <c r="B925" s="8">
        <v>79.153100500634096</v>
      </c>
      <c r="C925" s="12">
        <v>185.71358396287101</v>
      </c>
      <c r="D925" s="8">
        <v>-1.2303615763272799</v>
      </c>
      <c r="E925" s="12">
        <v>4.0028337619234501E-2</v>
      </c>
      <c r="F925" s="8" t="s">
        <v>8244</v>
      </c>
      <c r="G925" s="12" t="s">
        <v>8245</v>
      </c>
      <c r="H925" s="12">
        <v>1</v>
      </c>
      <c r="I925" s="13" t="str">
        <f>HYPERLINK("http://www.ncbi.nlm.nih.gov/gene/138715", "138715")</f>
        <v>138715</v>
      </c>
      <c r="J925" s="13" t="str">
        <f>HYPERLINK("http://www.ncbi.nlm.nih.gov/nuccore/NM_001017363", "NM_001017363")</f>
        <v>NM_001017363</v>
      </c>
      <c r="K925" s="12" t="s">
        <v>8246</v>
      </c>
      <c r="L925" s="13" t="str">
        <f>HYPERLINK("http://asia.ensembl.org/Homo_sapiens/Gene/Summary?g=ENSG00000205143", "ENSG00000205143")</f>
        <v>ENSG00000205143</v>
      </c>
      <c r="M925" s="12" t="s">
        <v>8247</v>
      </c>
      <c r="N925" s="12" t="s">
        <v>8248</v>
      </c>
    </row>
    <row r="926" spans="1:14">
      <c r="A926" s="12" t="s">
        <v>3984</v>
      </c>
      <c r="B926" s="8">
        <v>221.58910131727299</v>
      </c>
      <c r="C926" s="12">
        <v>519.79472638973698</v>
      </c>
      <c r="D926" s="8">
        <v>-1.23005507160031</v>
      </c>
      <c r="E926" s="12">
        <v>5.3189253743791802E-4</v>
      </c>
      <c r="F926" s="8" t="s">
        <v>3985</v>
      </c>
      <c r="G926" s="12" t="s">
        <v>3986</v>
      </c>
      <c r="H926" s="12">
        <v>1</v>
      </c>
      <c r="I926" s="13" t="str">
        <f>HYPERLINK("http://www.ncbi.nlm.nih.gov/gene/27294", "27294")</f>
        <v>27294</v>
      </c>
      <c r="J926" s="13" t="str">
        <f>HYPERLINK("http://www.ncbi.nlm.nih.gov/nuccore/NM_014475", "NM_014475")</f>
        <v>NM_014475</v>
      </c>
      <c r="K926" s="12" t="s">
        <v>3987</v>
      </c>
      <c r="L926" s="13" t="str">
        <f>HYPERLINK("http://asia.ensembl.org/Homo_sapiens/Gene/Summary?g=ENSG00000104808", "ENSG00000104808")</f>
        <v>ENSG00000104808</v>
      </c>
      <c r="M926" s="12" t="s">
        <v>17507</v>
      </c>
      <c r="N926" s="12" t="s">
        <v>17508</v>
      </c>
    </row>
    <row r="927" spans="1:14">
      <c r="A927" s="12" t="s">
        <v>9782</v>
      </c>
      <c r="B927" s="8">
        <v>86.458232752792298</v>
      </c>
      <c r="C927" s="12">
        <v>202.79379379123401</v>
      </c>
      <c r="D927" s="8">
        <v>-1.2299382491576401</v>
      </c>
      <c r="E927" s="12">
        <v>8.3658320527542796E-4</v>
      </c>
      <c r="F927" s="8" t="s">
        <v>9783</v>
      </c>
      <c r="G927" s="12" t="s">
        <v>9784</v>
      </c>
      <c r="H927" s="12">
        <v>1</v>
      </c>
      <c r="I927" s="13" t="str">
        <f>HYPERLINK("http://www.ncbi.nlm.nih.gov/gene/919", "919")</f>
        <v>919</v>
      </c>
      <c r="J927" s="12" t="s">
        <v>19320</v>
      </c>
      <c r="K927" s="12" t="s">
        <v>19321</v>
      </c>
      <c r="L927" s="13" t="str">
        <f>HYPERLINK("http://asia.ensembl.org/Homo_sapiens/Gene/Summary?g=ENSG00000198821", "ENSG00000198821")</f>
        <v>ENSG00000198821</v>
      </c>
      <c r="M927" s="12" t="s">
        <v>19322</v>
      </c>
      <c r="N927" s="12" t="s">
        <v>19323</v>
      </c>
    </row>
    <row r="928" spans="1:14">
      <c r="A928" s="12" t="s">
        <v>6310</v>
      </c>
      <c r="B928" s="8">
        <v>7964.3992894591902</v>
      </c>
      <c r="C928" s="12">
        <v>18678.0116561629</v>
      </c>
      <c r="D928" s="8">
        <v>-1.22970342649888</v>
      </c>
      <c r="E928" s="12">
        <v>2.1423010409844902E-3</v>
      </c>
      <c r="F928" s="8" t="s">
        <v>6311</v>
      </c>
      <c r="G928" s="12" t="s">
        <v>18115</v>
      </c>
      <c r="H928" s="12">
        <v>1</v>
      </c>
      <c r="I928" s="13" t="str">
        <f>HYPERLINK("http://www.ncbi.nlm.nih.gov/gene/26355", "26355")</f>
        <v>26355</v>
      </c>
      <c r="J928" s="13" t="str">
        <f>HYPERLINK("http://www.ncbi.nlm.nih.gov/nuccore/NM_014367", "NM_014367")</f>
        <v>NM_014367</v>
      </c>
      <c r="K928" s="12" t="s">
        <v>6312</v>
      </c>
      <c r="L928" s="13" t="str">
        <f>HYPERLINK("http://asia.ensembl.org/Homo_sapiens/Gene/Summary?g=ENSG00000114023", "ENSG00000114023")</f>
        <v>ENSG00000114023</v>
      </c>
      <c r="M928" s="12" t="s">
        <v>18116</v>
      </c>
      <c r="N928" s="12" t="s">
        <v>18117</v>
      </c>
    </row>
    <row r="929" spans="1:14">
      <c r="A929" s="12" t="s">
        <v>506</v>
      </c>
      <c r="B929" s="8">
        <v>14901.798065373399</v>
      </c>
      <c r="C929" s="12">
        <v>34944.278916584197</v>
      </c>
      <c r="D929" s="8">
        <v>-1.2295698584810499</v>
      </c>
      <c r="E929" s="12">
        <v>1.6152689048449301E-3</v>
      </c>
      <c r="F929" s="8" t="s">
        <v>507</v>
      </c>
      <c r="G929" s="12" t="s">
        <v>16353</v>
      </c>
      <c r="H929" s="12">
        <v>1</v>
      </c>
      <c r="I929" s="13" t="str">
        <f>HYPERLINK("http://www.ncbi.nlm.nih.gov/gene/51647", "51647")</f>
        <v>51647</v>
      </c>
      <c r="J929" s="12" t="s">
        <v>16354</v>
      </c>
      <c r="K929" s="12" t="s">
        <v>16355</v>
      </c>
      <c r="L929" s="13" t="str">
        <f>HYPERLINK("http://asia.ensembl.org/Homo_sapiens/Gene/Summary?g=ENSG00000166595", "ENSG00000166595")</f>
        <v>ENSG00000166595</v>
      </c>
      <c r="M929" s="12" t="s">
        <v>16356</v>
      </c>
      <c r="N929" s="12" t="s">
        <v>16357</v>
      </c>
    </row>
    <row r="930" spans="1:14">
      <c r="A930" s="12" t="s">
        <v>6658</v>
      </c>
      <c r="B930" s="8">
        <v>737.63895096133899</v>
      </c>
      <c r="C930" s="12">
        <v>1728.9750896655801</v>
      </c>
      <c r="D930" s="8">
        <v>-1.2289303391173101</v>
      </c>
      <c r="E930" s="12">
        <v>4.7489887005443498E-4</v>
      </c>
      <c r="F930" s="8" t="s">
        <v>6659</v>
      </c>
      <c r="G930" s="12" t="s">
        <v>15570</v>
      </c>
      <c r="H930" s="12">
        <v>1</v>
      </c>
      <c r="I930" s="13" t="str">
        <f>HYPERLINK("http://www.ncbi.nlm.nih.gov/gene/5702", "5702")</f>
        <v>5702</v>
      </c>
      <c r="J930" s="13" t="str">
        <f>HYPERLINK("http://www.ncbi.nlm.nih.gov/nuccore/NM_002804", "NM_002804")</f>
        <v>NM_002804</v>
      </c>
      <c r="K930" s="12" t="s">
        <v>6660</v>
      </c>
      <c r="L930" s="13" t="str">
        <f>HYPERLINK("http://asia.ensembl.org/Homo_sapiens/Gene/Summary?g=ENSG00000165916", "ENSG00000165916")</f>
        <v>ENSG00000165916</v>
      </c>
      <c r="M930" s="12" t="s">
        <v>18230</v>
      </c>
      <c r="N930" s="12" t="s">
        <v>18231</v>
      </c>
    </row>
    <row r="931" spans="1:14">
      <c r="A931" s="12" t="s">
        <v>4266</v>
      </c>
      <c r="B931" s="8">
        <v>492.13054335542898</v>
      </c>
      <c r="C931" s="12">
        <v>1153.4536365629799</v>
      </c>
      <c r="D931" s="8">
        <v>-1.22884705250216</v>
      </c>
      <c r="E931" s="12">
        <v>1.22722616701902E-3</v>
      </c>
      <c r="F931" s="8" t="s">
        <v>4267</v>
      </c>
      <c r="G931" s="12" t="s">
        <v>4268</v>
      </c>
      <c r="H931" s="12">
        <v>1</v>
      </c>
      <c r="I931" s="13" t="str">
        <f>HYPERLINK("http://www.ncbi.nlm.nih.gov/gene/388407", "388407")</f>
        <v>388407</v>
      </c>
      <c r="J931" s="13" t="str">
        <f>HYPERLINK("http://www.ncbi.nlm.nih.gov/nuccore/NM_203425", "NM_203425")</f>
        <v>NM_203425</v>
      </c>
      <c r="K931" s="12" t="s">
        <v>4269</v>
      </c>
      <c r="L931" s="12" t="s">
        <v>38</v>
      </c>
      <c r="M931" s="12" t="s">
        <v>38</v>
      </c>
      <c r="N931" s="12" t="s">
        <v>38</v>
      </c>
    </row>
    <row r="932" spans="1:14">
      <c r="A932" s="12" t="s">
        <v>1223</v>
      </c>
      <c r="B932" s="8">
        <v>89.0041331645388</v>
      </c>
      <c r="C932" s="12">
        <v>208.57337067177301</v>
      </c>
      <c r="D932" s="8">
        <v>-1.2286107369735499</v>
      </c>
      <c r="E932" s="12">
        <v>1.5338756831595199E-2</v>
      </c>
      <c r="F932" s="8" t="s">
        <v>1224</v>
      </c>
      <c r="G932" s="12" t="s">
        <v>16545</v>
      </c>
      <c r="H932" s="12">
        <v>1</v>
      </c>
      <c r="I932" s="13" t="str">
        <f>HYPERLINK("http://www.ncbi.nlm.nih.gov/gene/9823", "9823")</f>
        <v>9823</v>
      </c>
      <c r="J932" s="12" t="s">
        <v>16546</v>
      </c>
      <c r="K932" s="12" t="s">
        <v>16547</v>
      </c>
      <c r="L932" s="13" t="str">
        <f>HYPERLINK("http://asia.ensembl.org/Homo_sapiens/Gene/Summary?g=ENSG00000184867", "ENSG00000184867")</f>
        <v>ENSG00000184867</v>
      </c>
      <c r="M932" s="12" t="s">
        <v>16548</v>
      </c>
      <c r="N932" s="12" t="s">
        <v>16549</v>
      </c>
    </row>
    <row r="933" spans="1:14">
      <c r="A933" s="12" t="s">
        <v>1995</v>
      </c>
      <c r="B933" s="8">
        <v>61.769854388592002</v>
      </c>
      <c r="C933" s="12">
        <v>144.65342528718699</v>
      </c>
      <c r="D933" s="8">
        <v>-1.2276256507222401</v>
      </c>
      <c r="E933" s="12">
        <v>1.78256536433522E-3</v>
      </c>
      <c r="F933" s="8" t="s">
        <v>1996</v>
      </c>
      <c r="G933" s="12" t="s">
        <v>1997</v>
      </c>
      <c r="H933" s="12">
        <v>1</v>
      </c>
      <c r="I933" s="13" t="str">
        <f>HYPERLINK("http://www.ncbi.nlm.nih.gov/gene/8534", "8534")</f>
        <v>8534</v>
      </c>
      <c r="J933" s="13" t="str">
        <f>HYPERLINK("http://www.ncbi.nlm.nih.gov/nuccore/NM_003654", "NM_003654")</f>
        <v>NM_003654</v>
      </c>
      <c r="K933" s="12" t="s">
        <v>1998</v>
      </c>
      <c r="L933" s="13" t="str">
        <f>HYPERLINK("http://asia.ensembl.org/Homo_sapiens/Gene/Summary?g=ENSG00000175264", "ENSG00000175264")</f>
        <v>ENSG00000175264</v>
      </c>
      <c r="M933" s="12" t="s">
        <v>16873</v>
      </c>
      <c r="N933" s="12" t="s">
        <v>1999</v>
      </c>
    </row>
    <row r="934" spans="1:14">
      <c r="A934" s="12" t="s">
        <v>9107</v>
      </c>
      <c r="B934" s="8">
        <v>404.071732709564</v>
      </c>
      <c r="C934" s="12">
        <v>946.10241433618501</v>
      </c>
      <c r="D934" s="8">
        <v>-1.2273849321450501</v>
      </c>
      <c r="E934" s="12">
        <v>3.2150590131373798E-3</v>
      </c>
      <c r="F934" s="8" t="s">
        <v>9108</v>
      </c>
      <c r="G934" s="12" t="s">
        <v>19063</v>
      </c>
      <c r="H934" s="12">
        <v>1</v>
      </c>
      <c r="I934" s="13" t="str">
        <f>HYPERLINK("http://www.ncbi.nlm.nih.gov/gene/128312", "128312")</f>
        <v>128312</v>
      </c>
      <c r="J934" s="13" t="str">
        <f>HYPERLINK("http://www.ncbi.nlm.nih.gov/nuccore/NM_175055", "NM_175055")</f>
        <v>NM_175055</v>
      </c>
      <c r="K934" s="12" t="s">
        <v>9109</v>
      </c>
      <c r="L934" s="13" t="str">
        <f>HYPERLINK("http://asia.ensembl.org/Homo_sapiens/Gene/Summary?g=ENSG00000196890", "ENSG00000196890")</f>
        <v>ENSG00000196890</v>
      </c>
      <c r="M934" s="12" t="s">
        <v>9110</v>
      </c>
      <c r="N934" s="12" t="s">
        <v>9111</v>
      </c>
    </row>
    <row r="935" spans="1:14">
      <c r="A935" s="12" t="s">
        <v>10428</v>
      </c>
      <c r="B935" s="8">
        <v>18133.669851961698</v>
      </c>
      <c r="C935" s="12">
        <v>42457.179918258</v>
      </c>
      <c r="D935" s="8">
        <v>-1.2273376239848</v>
      </c>
      <c r="E935" s="12">
        <v>5.8500718493322097E-3</v>
      </c>
      <c r="F935" s="8" t="s">
        <v>7243</v>
      </c>
      <c r="G935" s="12" t="s">
        <v>18446</v>
      </c>
      <c r="H935" s="12">
        <v>1</v>
      </c>
      <c r="I935" s="13" t="str">
        <f>HYPERLINK("http://www.ncbi.nlm.nih.gov/gene/192286", "192286")</f>
        <v>192286</v>
      </c>
      <c r="J935" s="13" t="str">
        <f>HYPERLINK("http://www.ncbi.nlm.nih.gov/nuccore/NM_138820", "NM_138820")</f>
        <v>NM_138820</v>
      </c>
      <c r="K935" s="12" t="s">
        <v>7244</v>
      </c>
      <c r="L935" s="13" t="str">
        <f>HYPERLINK("http://asia.ensembl.org/Homo_sapiens/Gene/Summary?g=ENSG00000146066", "ENSG00000146066")</f>
        <v>ENSG00000146066</v>
      </c>
      <c r="M935" s="12" t="s">
        <v>7245</v>
      </c>
      <c r="N935" s="12" t="s">
        <v>7246</v>
      </c>
    </row>
    <row r="936" spans="1:14">
      <c r="A936" s="12" t="s">
        <v>751</v>
      </c>
      <c r="B936" s="8">
        <v>18280.770837979398</v>
      </c>
      <c r="C936" s="12">
        <v>42786.693183829797</v>
      </c>
      <c r="D936" s="8">
        <v>-1.2268352777873099</v>
      </c>
      <c r="E936" s="12">
        <v>2.3651298769872601E-2</v>
      </c>
      <c r="F936" s="8" t="s">
        <v>752</v>
      </c>
      <c r="G936" s="12" t="s">
        <v>286</v>
      </c>
      <c r="H936" s="12">
        <v>1</v>
      </c>
      <c r="I936" s="13" t="str">
        <f>HYPERLINK("http://www.ncbi.nlm.nih.gov/gene/4701", "4701")</f>
        <v>4701</v>
      </c>
      <c r="J936" s="13" t="str">
        <f>HYPERLINK("http://www.ncbi.nlm.nih.gov/nuccore/NM_005001", "NM_005001")</f>
        <v>NM_005001</v>
      </c>
      <c r="K936" s="12" t="s">
        <v>753</v>
      </c>
      <c r="L936" s="13" t="str">
        <f>HYPERLINK("http://asia.ensembl.org/Homo_sapiens/Gene/Summary?g=ENSG00000267855", "ENSG00000267855")</f>
        <v>ENSG00000267855</v>
      </c>
      <c r="M936" s="12" t="s">
        <v>16438</v>
      </c>
      <c r="N936" s="12" t="s">
        <v>16439</v>
      </c>
    </row>
    <row r="937" spans="1:14">
      <c r="A937" s="12" t="s">
        <v>5681</v>
      </c>
      <c r="B937" s="8">
        <v>2795.29440577587</v>
      </c>
      <c r="C937" s="12">
        <v>6541.3879967150597</v>
      </c>
      <c r="D937" s="8">
        <v>-1.22659655068255</v>
      </c>
      <c r="E937" s="12">
        <v>3.44136078584475E-3</v>
      </c>
      <c r="F937" s="8" t="s">
        <v>5682</v>
      </c>
      <c r="G937" s="12" t="s">
        <v>41</v>
      </c>
      <c r="H937" s="12">
        <v>1</v>
      </c>
      <c r="I937" s="13" t="str">
        <f>HYPERLINK("http://www.ncbi.nlm.nih.gov/gene/7923", "7923")</f>
        <v>7923</v>
      </c>
      <c r="J937" s="13" t="str">
        <f>HYPERLINK("http://www.ncbi.nlm.nih.gov/nuccore/NM_014234", "NM_014234")</f>
        <v>NM_014234</v>
      </c>
      <c r="K937" s="12" t="s">
        <v>5683</v>
      </c>
      <c r="L937" s="13" t="str">
        <f>HYPERLINK("http://asia.ensembl.org/Homo_sapiens/Gene/Summary?g=ENSG00000232357", "ENSG00000232357")</f>
        <v>ENSG00000232357</v>
      </c>
      <c r="M937" s="12" t="s">
        <v>17936</v>
      </c>
      <c r="N937" s="12" t="s">
        <v>5684</v>
      </c>
    </row>
    <row r="938" spans="1:14">
      <c r="A938" s="12" t="s">
        <v>1789</v>
      </c>
      <c r="B938" s="8">
        <v>9668.4499757495505</v>
      </c>
      <c r="C938" s="12">
        <v>22622.895993162601</v>
      </c>
      <c r="D938" s="8">
        <v>-1.2264270991388899</v>
      </c>
      <c r="E938" s="12">
        <v>3.16722395314201E-3</v>
      </c>
      <c r="F938" s="8" t="s">
        <v>1790</v>
      </c>
      <c r="G938" s="12" t="s">
        <v>1791</v>
      </c>
      <c r="H938" s="12">
        <v>1</v>
      </c>
      <c r="I938" s="13" t="str">
        <f>HYPERLINK("http://www.ncbi.nlm.nih.gov/gene/115416", "115416")</f>
        <v>115416</v>
      </c>
      <c r="J938" s="13" t="str">
        <f>HYPERLINK("http://www.ncbi.nlm.nih.gov/nuccore/NM_138446", "NM_138446")</f>
        <v>NM_138446</v>
      </c>
      <c r="K938" s="12" t="s">
        <v>1792</v>
      </c>
      <c r="L938" s="13" t="str">
        <f>HYPERLINK("http://asia.ensembl.org/Homo_sapiens/Gene/Summary?g=ENSG00000156928", "ENSG00000156928")</f>
        <v>ENSG00000156928</v>
      </c>
      <c r="M938" s="12" t="s">
        <v>16790</v>
      </c>
      <c r="N938" s="12" t="s">
        <v>1793</v>
      </c>
    </row>
    <row r="939" spans="1:14">
      <c r="A939" s="12" t="s">
        <v>7876</v>
      </c>
      <c r="B939" s="8">
        <v>12686.657367944999</v>
      </c>
      <c r="C939" s="12">
        <v>29666.610132309499</v>
      </c>
      <c r="D939" s="8">
        <v>-1.2255280826161301</v>
      </c>
      <c r="E939" s="12">
        <v>1.5091830114843101E-2</v>
      </c>
      <c r="F939" s="8" t="s">
        <v>7164</v>
      </c>
      <c r="G939" s="12" t="s">
        <v>7165</v>
      </c>
      <c r="H939" s="12">
        <v>4</v>
      </c>
      <c r="I939" s="12" t="s">
        <v>7166</v>
      </c>
      <c r="J939" s="12" t="s">
        <v>7167</v>
      </c>
      <c r="K939" s="12" t="s">
        <v>7168</v>
      </c>
      <c r="L939" s="13" t="str">
        <f>HYPERLINK("http://asia.ensembl.org/Homo_sapiens/Gene/Summary?g=ENSG00000122026", "ENSG00000122026")</f>
        <v>ENSG00000122026</v>
      </c>
      <c r="M939" s="12" t="s">
        <v>18654</v>
      </c>
      <c r="N939" s="12" t="s">
        <v>18655</v>
      </c>
    </row>
    <row r="940" spans="1:14">
      <c r="A940" s="12" t="s">
        <v>9058</v>
      </c>
      <c r="B940" s="8">
        <v>16201.053342716399</v>
      </c>
      <c r="C940" s="12">
        <v>37873.0084375429</v>
      </c>
      <c r="D940" s="8">
        <v>-1.2250824103100899</v>
      </c>
      <c r="E940" s="12">
        <v>2.2643659452403798E-3</v>
      </c>
      <c r="F940" s="8" t="s">
        <v>4301</v>
      </c>
      <c r="G940" s="12" t="s">
        <v>4302</v>
      </c>
      <c r="H940" s="12">
        <v>1</v>
      </c>
      <c r="I940" s="13" t="str">
        <f>HYPERLINK("http://www.ncbi.nlm.nih.gov/gene/23593", "23593")</f>
        <v>23593</v>
      </c>
      <c r="J940" s="13" t="str">
        <f>HYPERLINK("http://www.ncbi.nlm.nih.gov/nuccore/NM_014320", "NM_014320")</f>
        <v>NM_014320</v>
      </c>
      <c r="K940" s="12" t="s">
        <v>4303</v>
      </c>
      <c r="L940" s="13" t="str">
        <f>HYPERLINK("http://asia.ensembl.org/Homo_sapiens/Gene/Summary?g=ENSG00000051620", "ENSG00000051620")</f>
        <v>ENSG00000051620</v>
      </c>
      <c r="M940" s="12" t="s">
        <v>17646</v>
      </c>
      <c r="N940" s="12" t="s">
        <v>17647</v>
      </c>
    </row>
    <row r="941" spans="1:14">
      <c r="A941" s="12" t="s">
        <v>10403</v>
      </c>
      <c r="B941" s="8">
        <v>5057.48387236293</v>
      </c>
      <c r="C941" s="12">
        <v>11822.2830042693</v>
      </c>
      <c r="D941" s="8">
        <v>-1.225016942306</v>
      </c>
      <c r="E941" s="12">
        <v>2.1279497481348198E-3</v>
      </c>
      <c r="F941" s="8" t="s">
        <v>1977</v>
      </c>
      <c r="G941" s="12" t="s">
        <v>1978</v>
      </c>
      <c r="H941" s="12">
        <v>1</v>
      </c>
      <c r="I941" s="13" t="str">
        <f>HYPERLINK("http://www.ncbi.nlm.nih.gov/gene/790955", "790955")</f>
        <v>790955</v>
      </c>
      <c r="J941" s="13" t="str">
        <f>HYPERLINK("http://www.ncbi.nlm.nih.gov/nuccore/NM_001085372", "NM_001085372")</f>
        <v>NM_001085372</v>
      </c>
      <c r="K941" s="12" t="s">
        <v>1979</v>
      </c>
      <c r="L941" s="13" t="str">
        <f>HYPERLINK("http://asia.ensembl.org/Homo_sapiens/Gene/Summary?g=ENSG00000204922", "ENSG00000204922")</f>
        <v>ENSG00000204922</v>
      </c>
      <c r="M941" s="12" t="s">
        <v>19725</v>
      </c>
      <c r="N941" s="12" t="s">
        <v>19726</v>
      </c>
    </row>
    <row r="942" spans="1:14">
      <c r="A942" s="12" t="s">
        <v>10624</v>
      </c>
      <c r="B942" s="8">
        <v>824.58461887524902</v>
      </c>
      <c r="C942" s="12">
        <v>1924.78058165365</v>
      </c>
      <c r="D942" s="8">
        <v>-1.2229545371828101</v>
      </c>
      <c r="E942" s="12">
        <v>7.4887572918214097E-4</v>
      </c>
      <c r="F942" s="8" t="s">
        <v>86</v>
      </c>
      <c r="G942" s="12" t="s">
        <v>87</v>
      </c>
      <c r="H942" s="12">
        <v>1</v>
      </c>
      <c r="I942" s="13" t="str">
        <f>HYPERLINK("http://www.ncbi.nlm.nih.gov/gene/4254", "4254")</f>
        <v>4254</v>
      </c>
      <c r="J942" s="12" t="s">
        <v>19806</v>
      </c>
      <c r="K942" s="12" t="s">
        <v>19807</v>
      </c>
      <c r="L942" s="13" t="str">
        <f>HYPERLINK("http://asia.ensembl.org/Homo_sapiens/Gene/Summary?g=ENSG00000049130", "ENSG00000049130")</f>
        <v>ENSG00000049130</v>
      </c>
      <c r="M942" s="12" t="s">
        <v>19808</v>
      </c>
      <c r="N942" s="12" t="s">
        <v>19809</v>
      </c>
    </row>
    <row r="943" spans="1:14">
      <c r="A943" s="12" t="s">
        <v>7195</v>
      </c>
      <c r="B943" s="8">
        <v>90717.581169931698</v>
      </c>
      <c r="C943" s="12">
        <v>211717.17206177101</v>
      </c>
      <c r="D943" s="8">
        <v>-1.22268421002353</v>
      </c>
      <c r="E943" s="12">
        <v>3.1806172704894201E-3</v>
      </c>
      <c r="F943" s="8" t="s">
        <v>7196</v>
      </c>
      <c r="G943" s="12" t="s">
        <v>7197</v>
      </c>
      <c r="H943" s="12">
        <v>1</v>
      </c>
      <c r="I943" s="13" t="str">
        <f>HYPERLINK("http://www.ncbi.nlm.nih.gov/gene/6194", "6194")</f>
        <v>6194</v>
      </c>
      <c r="J943" s="13" t="str">
        <f>HYPERLINK("http://www.ncbi.nlm.nih.gov/nuccore/NM_001010", "NM_001010")</f>
        <v>NM_001010</v>
      </c>
      <c r="K943" s="12" t="s">
        <v>7198</v>
      </c>
      <c r="L943" s="13" t="str">
        <f>HYPERLINK("http://asia.ensembl.org/Homo_sapiens/Gene/Summary?g=ENSG00000137154", "ENSG00000137154")</f>
        <v>ENSG00000137154</v>
      </c>
      <c r="M943" s="12" t="s">
        <v>18411</v>
      </c>
      <c r="N943" s="12" t="s">
        <v>18412</v>
      </c>
    </row>
    <row r="944" spans="1:14">
      <c r="A944" s="12" t="s">
        <v>9827</v>
      </c>
      <c r="B944" s="8">
        <v>3811.8128024143998</v>
      </c>
      <c r="C944" s="12">
        <v>8892.3460630448299</v>
      </c>
      <c r="D944" s="8">
        <v>-1.22208682431869</v>
      </c>
      <c r="E944" s="12">
        <v>2.4163968563811799E-3</v>
      </c>
      <c r="F944" s="8" t="s">
        <v>2740</v>
      </c>
      <c r="G944" s="12" t="s">
        <v>12764</v>
      </c>
      <c r="H944" s="12">
        <v>1</v>
      </c>
      <c r="I944" s="13" t="str">
        <f>HYPERLINK("http://www.ncbi.nlm.nih.gov/gene/1479", "1479")</f>
        <v>1479</v>
      </c>
      <c r="J944" s="13" t="str">
        <f>HYPERLINK("http://www.ncbi.nlm.nih.gov/nuccore/NM_001033505", "NM_001033505")</f>
        <v>NM_001033505</v>
      </c>
      <c r="K944" s="12" t="s">
        <v>9828</v>
      </c>
      <c r="L944" s="13" t="str">
        <f>HYPERLINK("http://asia.ensembl.org/Homo_sapiens/Gene/Summary?g=ENSG00000176102", "ENSG00000176102")</f>
        <v>ENSG00000176102</v>
      </c>
      <c r="M944" s="12" t="s">
        <v>12765</v>
      </c>
      <c r="N944" s="12" t="s">
        <v>12766</v>
      </c>
    </row>
    <row r="945" spans="1:14">
      <c r="A945" s="12" t="s">
        <v>11342</v>
      </c>
      <c r="B945" s="8">
        <v>182.83166886911101</v>
      </c>
      <c r="C945" s="12">
        <v>426.51241559982998</v>
      </c>
      <c r="D945" s="8">
        <v>-1.22207175246023</v>
      </c>
      <c r="E945" s="12">
        <v>1.7610291699512601E-2</v>
      </c>
      <c r="F945" s="8" t="s">
        <v>11343</v>
      </c>
      <c r="G945" s="12" t="s">
        <v>20083</v>
      </c>
      <c r="H945" s="12">
        <v>4</v>
      </c>
      <c r="I945" s="12" t="s">
        <v>11344</v>
      </c>
      <c r="J945" s="12" t="s">
        <v>11345</v>
      </c>
      <c r="K945" s="12" t="s">
        <v>11346</v>
      </c>
      <c r="L945" s="12" t="s">
        <v>11347</v>
      </c>
      <c r="M945" s="12" t="s">
        <v>20084</v>
      </c>
      <c r="N945" s="12" t="s">
        <v>20085</v>
      </c>
    </row>
    <row r="946" spans="1:14">
      <c r="A946" s="12" t="s">
        <v>4337</v>
      </c>
      <c r="B946" s="8">
        <v>213.38331189397201</v>
      </c>
      <c r="C946" s="12">
        <v>497.71903656541201</v>
      </c>
      <c r="D946" s="8">
        <v>-1.2218842162422101</v>
      </c>
      <c r="E946" s="12">
        <v>5.2332784925361898E-3</v>
      </c>
      <c r="F946" s="8" t="s">
        <v>4338</v>
      </c>
      <c r="G946" s="12" t="s">
        <v>4339</v>
      </c>
      <c r="H946" s="12">
        <v>1</v>
      </c>
      <c r="I946" s="13" t="str">
        <f>HYPERLINK("http://www.ncbi.nlm.nih.gov/gene/100506974", "100506974")</f>
        <v>100506974</v>
      </c>
      <c r="J946" s="12" t="s">
        <v>17661</v>
      </c>
      <c r="K946" s="12" t="s">
        <v>12796</v>
      </c>
      <c r="L946" s="12" t="s">
        <v>38</v>
      </c>
      <c r="M946" s="12" t="s">
        <v>38</v>
      </c>
      <c r="N946" s="12" t="s">
        <v>38</v>
      </c>
    </row>
    <row r="947" spans="1:14">
      <c r="A947" s="12" t="s">
        <v>5218</v>
      </c>
      <c r="B947" s="8">
        <v>2361.6599295580099</v>
      </c>
      <c r="C947" s="12">
        <v>5508.3276617921201</v>
      </c>
      <c r="D947" s="8">
        <v>-1.22181314360635</v>
      </c>
      <c r="E947" s="12">
        <v>1.2428010058709101E-3</v>
      </c>
      <c r="F947" s="8" t="s">
        <v>5219</v>
      </c>
      <c r="G947" s="12" t="s">
        <v>5220</v>
      </c>
      <c r="H947" s="12">
        <v>1</v>
      </c>
      <c r="I947" s="13" t="str">
        <f>HYPERLINK("http://www.ncbi.nlm.nih.gov/gene/51115", "51115")</f>
        <v>51115</v>
      </c>
      <c r="J947" s="13" t="str">
        <f>HYPERLINK("http://www.ncbi.nlm.nih.gov/nuccore/NM_016033", "NM_016033")</f>
        <v>NM_016033</v>
      </c>
      <c r="K947" s="12" t="s">
        <v>5221</v>
      </c>
      <c r="L947" s="13" t="str">
        <f>HYPERLINK("http://asia.ensembl.org/Homo_sapiens/Gene/Summary?g=ENSG00000176623", "ENSG00000176623")</f>
        <v>ENSG00000176623</v>
      </c>
      <c r="M947" s="12" t="s">
        <v>17828</v>
      </c>
      <c r="N947" s="12" t="s">
        <v>17829</v>
      </c>
    </row>
    <row r="948" spans="1:14">
      <c r="A948" s="12" t="s">
        <v>870</v>
      </c>
      <c r="B948" s="8">
        <v>3263.8644462370098</v>
      </c>
      <c r="C948" s="12">
        <v>7610.8449194125997</v>
      </c>
      <c r="D948" s="8">
        <v>-1.2214754826775001</v>
      </c>
      <c r="E948" s="12">
        <v>2.4306575690754601E-3</v>
      </c>
      <c r="F948" s="8" t="s">
        <v>871</v>
      </c>
      <c r="G948" s="12" t="s">
        <v>872</v>
      </c>
      <c r="H948" s="12">
        <v>1</v>
      </c>
      <c r="I948" s="13" t="str">
        <f>HYPERLINK("http://www.ncbi.nlm.nih.gov/gene/29107", "29107")</f>
        <v>29107</v>
      </c>
      <c r="J948" s="13" t="str">
        <f>HYPERLINK("http://www.ncbi.nlm.nih.gov/nuccore/NM_013248", "NM_013248")</f>
        <v>NM_013248</v>
      </c>
      <c r="K948" s="12" t="s">
        <v>873</v>
      </c>
      <c r="L948" s="13" t="str">
        <f>HYPERLINK("http://asia.ensembl.org/Homo_sapiens/Gene/Summary?g=ENSG00000132661", "ENSG00000132661")</f>
        <v>ENSG00000132661</v>
      </c>
      <c r="M948" s="12" t="s">
        <v>874</v>
      </c>
      <c r="N948" s="12" t="s">
        <v>875</v>
      </c>
    </row>
    <row r="949" spans="1:14">
      <c r="A949" s="12" t="s">
        <v>2537</v>
      </c>
      <c r="B949" s="8">
        <v>184.82206593669301</v>
      </c>
      <c r="C949" s="12">
        <v>430.95705447851299</v>
      </c>
      <c r="D949" s="8">
        <v>-1.22140709910314</v>
      </c>
      <c r="E949" s="12">
        <v>4.0188610503478503E-3</v>
      </c>
      <c r="F949" s="8" t="s">
        <v>2538</v>
      </c>
      <c r="G949" s="12" t="s">
        <v>2539</v>
      </c>
      <c r="H949" s="12">
        <v>1</v>
      </c>
      <c r="I949" s="13" t="str">
        <f>HYPERLINK("http://www.ncbi.nlm.nih.gov/gene/441461", "441461")</f>
        <v>441461</v>
      </c>
      <c r="J949" s="13" t="str">
        <f>HYPERLINK("http://www.ncbi.nlm.nih.gov/nuccore/NR_038853", "NR_038853")</f>
        <v>NR_038853</v>
      </c>
      <c r="K949" s="12" t="s">
        <v>199</v>
      </c>
      <c r="L949" s="13" t="str">
        <f>HYPERLINK("http://asia.ensembl.org/Homo_sapiens/Gene/Summary?g=ENSG00000255145", "ENSG00000255145")</f>
        <v>ENSG00000255145</v>
      </c>
      <c r="M949" s="12" t="s">
        <v>2540</v>
      </c>
    </row>
    <row r="950" spans="1:14">
      <c r="A950" s="12" t="s">
        <v>3756</v>
      </c>
      <c r="B950" s="8">
        <v>107.128977207356</v>
      </c>
      <c r="C950" s="12">
        <v>249.790569071709</v>
      </c>
      <c r="D950" s="8">
        <v>-1.2213702425508499</v>
      </c>
      <c r="E950" s="12">
        <v>1.4739537243871801E-3</v>
      </c>
      <c r="F950" s="8" t="s">
        <v>3757</v>
      </c>
      <c r="G950" s="12" t="s">
        <v>3758</v>
      </c>
      <c r="H950" s="12">
        <v>1</v>
      </c>
      <c r="I950" s="13" t="str">
        <f>HYPERLINK("http://www.ncbi.nlm.nih.gov/gene/147798", "147798")</f>
        <v>147798</v>
      </c>
      <c r="J950" s="12" t="s">
        <v>17407</v>
      </c>
      <c r="K950" s="12" t="s">
        <v>17408</v>
      </c>
      <c r="L950" s="13" t="str">
        <f>HYPERLINK("http://asia.ensembl.org/Homo_sapiens/Gene/Summary?g=ENSG00000167608", "ENSG00000167608")</f>
        <v>ENSG00000167608</v>
      </c>
      <c r="M950" s="12" t="s">
        <v>17409</v>
      </c>
      <c r="N950" s="12" t="s">
        <v>17410</v>
      </c>
    </row>
    <row r="951" spans="1:14">
      <c r="A951" s="12" t="s">
        <v>7376</v>
      </c>
      <c r="B951" s="8">
        <v>6421.37883348581</v>
      </c>
      <c r="C951" s="12">
        <v>14967.6272253275</v>
      </c>
      <c r="D951" s="8">
        <v>-1.22089051417658</v>
      </c>
      <c r="E951" s="12">
        <v>6.0341473467945298E-3</v>
      </c>
      <c r="F951" s="8" t="s">
        <v>265</v>
      </c>
      <c r="G951" s="12" t="s">
        <v>266</v>
      </c>
      <c r="H951" s="12">
        <v>1</v>
      </c>
      <c r="I951" s="13" t="str">
        <f>HYPERLINK("http://www.ncbi.nlm.nih.gov/gene/29089", "29089")</f>
        <v>29089</v>
      </c>
      <c r="J951" s="13" t="str">
        <f>HYPERLINK("http://www.ncbi.nlm.nih.gov/nuccore/NM_014176", "NM_014176")</f>
        <v>NM_014176</v>
      </c>
      <c r="K951" s="12" t="s">
        <v>267</v>
      </c>
      <c r="L951" s="13" t="str">
        <f>HYPERLINK("http://asia.ensembl.org/Homo_sapiens/Gene/Summary?g=ENSG00000077152", "ENSG00000077152")</f>
        <v>ENSG00000077152</v>
      </c>
      <c r="M951" s="12" t="s">
        <v>16302</v>
      </c>
      <c r="N951" s="12" t="s">
        <v>268</v>
      </c>
    </row>
    <row r="952" spans="1:14">
      <c r="A952" s="12" t="s">
        <v>9038</v>
      </c>
      <c r="B952" s="8">
        <v>62.525939504903199</v>
      </c>
      <c r="C952" s="12">
        <v>145.728809100186</v>
      </c>
      <c r="D952" s="8">
        <v>-1.2207593763120701</v>
      </c>
      <c r="E952" s="12">
        <v>3.4208295248870799E-2</v>
      </c>
      <c r="F952" s="8" t="s">
        <v>5060</v>
      </c>
      <c r="G952" s="12" t="s">
        <v>5061</v>
      </c>
      <c r="H952" s="12">
        <v>1</v>
      </c>
      <c r="I952" s="13" t="str">
        <f>HYPERLINK("http://www.ncbi.nlm.nih.gov/gene/753", "753")</f>
        <v>753</v>
      </c>
      <c r="J952" s="12" t="s">
        <v>19043</v>
      </c>
      <c r="K952" s="12" t="s">
        <v>19044</v>
      </c>
      <c r="L952" s="13" t="str">
        <f>HYPERLINK("http://asia.ensembl.org/Homo_sapiens/Gene/Summary?g=ENSG00000168675", "ENSG00000168675")</f>
        <v>ENSG00000168675</v>
      </c>
      <c r="M952" s="12" t="s">
        <v>19045</v>
      </c>
      <c r="N952" s="12" t="s">
        <v>19046</v>
      </c>
    </row>
    <row r="953" spans="1:14">
      <c r="A953" s="12" t="s">
        <v>5158</v>
      </c>
      <c r="B953" s="8">
        <v>8363.9114246061708</v>
      </c>
      <c r="C953" s="12">
        <v>19491.2181090913</v>
      </c>
      <c r="D953" s="8">
        <v>-1.2205745663312699</v>
      </c>
      <c r="E953" s="12">
        <v>1.8940427035044598E-2</v>
      </c>
      <c r="F953" s="8" t="s">
        <v>5159</v>
      </c>
      <c r="G953" s="12" t="s">
        <v>5160</v>
      </c>
      <c r="H953" s="12">
        <v>1</v>
      </c>
      <c r="I953" s="13" t="str">
        <f>HYPERLINK("http://www.ncbi.nlm.nih.gov/gene/7378", "7378")</f>
        <v>7378</v>
      </c>
      <c r="J953" s="13" t="str">
        <f>HYPERLINK("http://www.ncbi.nlm.nih.gov/nuccore/NM_003364", "NM_003364")</f>
        <v>NM_003364</v>
      </c>
      <c r="K953" s="12" t="s">
        <v>5161</v>
      </c>
      <c r="L953" s="13" t="str">
        <f>HYPERLINK("http://asia.ensembl.org/Homo_sapiens/Gene/Summary?g=ENSG00000183696", "ENSG00000183696")</f>
        <v>ENSG00000183696</v>
      </c>
      <c r="M953" s="12" t="s">
        <v>17809</v>
      </c>
      <c r="N953" s="12" t="s">
        <v>17810</v>
      </c>
    </row>
    <row r="954" spans="1:14">
      <c r="A954" s="12" t="s">
        <v>3786</v>
      </c>
      <c r="B954" s="8">
        <v>26759.3738517313</v>
      </c>
      <c r="C954" s="12">
        <v>62355.192313419997</v>
      </c>
      <c r="D954" s="8">
        <v>-1.2204653397465</v>
      </c>
      <c r="E954" s="12">
        <v>9.3118443761435708E-3</v>
      </c>
      <c r="F954" s="8" t="s">
        <v>3787</v>
      </c>
      <c r="G954" s="12" t="s">
        <v>3788</v>
      </c>
      <c r="H954" s="12">
        <v>1</v>
      </c>
      <c r="I954" s="13" t="str">
        <f>HYPERLINK("http://www.ncbi.nlm.nih.gov/gene/149603", "149603")</f>
        <v>149603</v>
      </c>
      <c r="J954" s="13" t="str">
        <f>HYPERLINK("http://www.ncbi.nlm.nih.gov/nuccore/NM_001010858", "NM_001010858")</f>
        <v>NM_001010858</v>
      </c>
      <c r="K954" s="12" t="s">
        <v>3789</v>
      </c>
      <c r="L954" s="13" t="str">
        <f>HYPERLINK("http://asia.ensembl.org/Homo_sapiens/Gene/Summary?g=ENSG00000168159", "ENSG00000168159")</f>
        <v>ENSG00000168159</v>
      </c>
      <c r="M954" s="12" t="s">
        <v>17423</v>
      </c>
      <c r="N954" s="12" t="s">
        <v>3790</v>
      </c>
    </row>
    <row r="955" spans="1:14">
      <c r="A955" s="12" t="s">
        <v>908</v>
      </c>
      <c r="B955" s="8">
        <v>624.97074716334896</v>
      </c>
      <c r="C955" s="12">
        <v>1456.00710471147</v>
      </c>
      <c r="D955" s="8">
        <v>-1.2201568266766101</v>
      </c>
      <c r="E955" s="12">
        <v>8.8507786826029604E-3</v>
      </c>
      <c r="F955" s="8" t="s">
        <v>909</v>
      </c>
      <c r="G955" s="12" t="s">
        <v>910</v>
      </c>
      <c r="H955" s="12">
        <v>1</v>
      </c>
      <c r="I955" s="13" t="str">
        <f>HYPERLINK("http://www.ncbi.nlm.nih.gov/gene/23264", "23264")</f>
        <v>23264</v>
      </c>
      <c r="J955" s="13" t="str">
        <f>HYPERLINK("http://www.ncbi.nlm.nih.gov/nuccore/NM_017590", "NM_017590")</f>
        <v>NM_017590</v>
      </c>
      <c r="K955" s="12" t="s">
        <v>911</v>
      </c>
      <c r="L955" s="13" t="str">
        <f>HYPERLINK("http://asia.ensembl.org/Homo_sapiens/Gene/Summary?g=ENSG00000100403", "ENSG00000100403")</f>
        <v>ENSG00000100403</v>
      </c>
      <c r="M955" s="12" t="s">
        <v>16466</v>
      </c>
      <c r="N955" s="12" t="s">
        <v>912</v>
      </c>
    </row>
    <row r="956" spans="1:14">
      <c r="A956" s="12" t="s">
        <v>8024</v>
      </c>
      <c r="B956" s="8">
        <v>32420.131242296698</v>
      </c>
      <c r="C956" s="12">
        <v>75497.883725473206</v>
      </c>
      <c r="D956" s="8">
        <v>-1.2195462738006699</v>
      </c>
      <c r="E956" s="12">
        <v>7.8920123963442494E-3</v>
      </c>
      <c r="F956" s="8" t="s">
        <v>6089</v>
      </c>
      <c r="G956" s="12" t="s">
        <v>18706</v>
      </c>
      <c r="H956" s="12">
        <v>1</v>
      </c>
      <c r="I956" s="13" t="str">
        <f>HYPERLINK("http://www.ncbi.nlm.nih.gov/gene/8270", "8270")</f>
        <v>8270</v>
      </c>
      <c r="J956" s="13" t="str">
        <f>HYPERLINK("http://www.ncbi.nlm.nih.gov/nuccore/NM_006014", "NM_006014")</f>
        <v>NM_006014</v>
      </c>
      <c r="K956" s="12" t="s">
        <v>6090</v>
      </c>
      <c r="L956" s="13" t="str">
        <f>HYPERLINK("http://asia.ensembl.org/Homo_sapiens/Gene/Summary?g=ENSG00000196976", "ENSG00000196976")</f>
        <v>ENSG00000196976</v>
      </c>
      <c r="M956" s="12" t="s">
        <v>18707</v>
      </c>
      <c r="N956" s="12" t="s">
        <v>18708</v>
      </c>
    </row>
    <row r="957" spans="1:14">
      <c r="A957" s="12" t="s">
        <v>3545</v>
      </c>
      <c r="B957" s="8">
        <v>5112.3746810033899</v>
      </c>
      <c r="C957" s="12">
        <v>11899.777470946299</v>
      </c>
      <c r="D957" s="8">
        <v>-1.21886911599979</v>
      </c>
      <c r="E957" s="12">
        <v>1.6559311869762E-3</v>
      </c>
      <c r="F957" s="8" t="s">
        <v>3546</v>
      </c>
      <c r="G957" s="12" t="s">
        <v>3547</v>
      </c>
      <c r="H957" s="12">
        <v>1</v>
      </c>
      <c r="I957" s="13" t="str">
        <f>HYPERLINK("http://www.ncbi.nlm.nih.gov/gene/152007", "152007")</f>
        <v>152007</v>
      </c>
      <c r="J957" s="13" t="str">
        <f>HYPERLINK("http://www.ncbi.nlm.nih.gov/nuccore/NM_022343", "NM_022343")</f>
        <v>NM_022343</v>
      </c>
      <c r="K957" s="12" t="s">
        <v>3548</v>
      </c>
      <c r="L957" s="13" t="str">
        <f>HYPERLINK("http://asia.ensembl.org/Homo_sapiens/Gene/Summary?g=ENSG00000122694", "ENSG00000122694")</f>
        <v>ENSG00000122694</v>
      </c>
      <c r="M957" s="12" t="s">
        <v>17341</v>
      </c>
      <c r="N957" s="12" t="s">
        <v>17342</v>
      </c>
    </row>
    <row r="958" spans="1:14">
      <c r="A958" s="12" t="s">
        <v>10671</v>
      </c>
      <c r="B958" s="8">
        <v>9191.6493906670603</v>
      </c>
      <c r="C958" s="12">
        <v>21390.627852096601</v>
      </c>
      <c r="D958" s="8">
        <v>-1.2185831552242701</v>
      </c>
      <c r="E958" s="12">
        <v>3.71892766405675E-3</v>
      </c>
      <c r="F958" s="8" t="s">
        <v>6693</v>
      </c>
      <c r="G958" s="12" t="s">
        <v>19820</v>
      </c>
      <c r="H958" s="12">
        <v>1</v>
      </c>
      <c r="I958" s="13" t="str">
        <f>HYPERLINK("http://www.ncbi.nlm.nih.gov/gene/808", "808")</f>
        <v>808</v>
      </c>
      <c r="J958" s="13" t="str">
        <f>HYPERLINK("http://www.ncbi.nlm.nih.gov/nuccore/NM_005184", "NM_005184")</f>
        <v>NM_005184</v>
      </c>
      <c r="K958" s="12" t="s">
        <v>6694</v>
      </c>
      <c r="L958" s="13" t="str">
        <f>HYPERLINK("http://asia.ensembl.org/Homo_sapiens/Gene/Summary?g=ENSG00000160014", "ENSG00000160014")</f>
        <v>ENSG00000160014</v>
      </c>
      <c r="M958" s="12" t="s">
        <v>6695</v>
      </c>
    </row>
    <row r="959" spans="1:14">
      <c r="A959" s="12" t="s">
        <v>5405</v>
      </c>
      <c r="B959" s="8">
        <v>2060.0740610663602</v>
      </c>
      <c r="C959" s="12">
        <v>4790.3779347892096</v>
      </c>
      <c r="D959" s="8">
        <v>-1.21744327704037</v>
      </c>
      <c r="E959" s="12">
        <v>5.51075614853694E-3</v>
      </c>
      <c r="F959" s="8" t="s">
        <v>5406</v>
      </c>
      <c r="G959" s="12" t="s">
        <v>17874</v>
      </c>
      <c r="H959" s="12">
        <v>1</v>
      </c>
      <c r="I959" s="13" t="str">
        <f>HYPERLINK("http://www.ncbi.nlm.nih.gov/gene/6648", "6648")</f>
        <v>6648</v>
      </c>
      <c r="J959" s="13" t="str">
        <f>HYPERLINK("http://www.ncbi.nlm.nih.gov/nuccore/NM_000636", "NM_000636")</f>
        <v>NM_000636</v>
      </c>
      <c r="K959" s="12" t="s">
        <v>5407</v>
      </c>
      <c r="L959" s="13" t="str">
        <f>HYPERLINK("http://asia.ensembl.org/Homo_sapiens/Gene/Summary?g=ENSG00000112096", "ENSG00000112096")</f>
        <v>ENSG00000112096</v>
      </c>
      <c r="M959" s="12" t="s">
        <v>5408</v>
      </c>
    </row>
    <row r="960" spans="1:14">
      <c r="A960" s="12" t="s">
        <v>8772</v>
      </c>
      <c r="B960" s="8">
        <v>171663.42119341201</v>
      </c>
      <c r="C960" s="12">
        <v>398885.22937292798</v>
      </c>
      <c r="D960" s="8">
        <v>-1.2163910455517499</v>
      </c>
      <c r="E960" s="12">
        <v>5.0136424597457098E-3</v>
      </c>
      <c r="F960" s="8" t="s">
        <v>7164</v>
      </c>
      <c r="G960" s="12" t="s">
        <v>7165</v>
      </c>
      <c r="H960" s="12">
        <v>4</v>
      </c>
      <c r="I960" s="12" t="s">
        <v>7166</v>
      </c>
      <c r="J960" s="12" t="s">
        <v>7167</v>
      </c>
      <c r="K960" s="12" t="s">
        <v>7168</v>
      </c>
      <c r="L960" s="13" t="str">
        <f>HYPERLINK("http://asia.ensembl.org/Homo_sapiens/Gene/Summary?g=ENSG00000122026", "ENSG00000122026")</f>
        <v>ENSG00000122026</v>
      </c>
      <c r="M960" s="12" t="s">
        <v>18654</v>
      </c>
      <c r="N960" s="12" t="s">
        <v>18655</v>
      </c>
    </row>
    <row r="961" spans="1:14">
      <c r="A961" s="12" t="s">
        <v>10777</v>
      </c>
      <c r="B961" s="8">
        <v>658.15648377233902</v>
      </c>
      <c r="C961" s="12">
        <v>1528.9988970511799</v>
      </c>
      <c r="D961" s="8">
        <v>-1.21608481990845</v>
      </c>
      <c r="E961" s="12">
        <v>2.4787737388782399E-3</v>
      </c>
      <c r="F961" s="8" t="s">
        <v>3709</v>
      </c>
      <c r="G961" s="12" t="s">
        <v>3710</v>
      </c>
      <c r="H961" s="12">
        <v>1</v>
      </c>
      <c r="I961" s="13" t="str">
        <f>HYPERLINK("http://www.ncbi.nlm.nih.gov/gene/2296", "2296")</f>
        <v>2296</v>
      </c>
      <c r="J961" s="13" t="str">
        <f>HYPERLINK("http://www.ncbi.nlm.nih.gov/nuccore/NM_001453", "NM_001453")</f>
        <v>NM_001453</v>
      </c>
      <c r="K961" s="12" t="s">
        <v>3711</v>
      </c>
      <c r="L961" s="13" t="str">
        <f>HYPERLINK("http://asia.ensembl.org/Homo_sapiens/Gene/Summary?g=ENSG00000054598", "ENSG00000054598")</f>
        <v>ENSG00000054598</v>
      </c>
      <c r="M961" s="12" t="s">
        <v>3712</v>
      </c>
      <c r="N961" s="12" t="s">
        <v>3713</v>
      </c>
    </row>
    <row r="962" spans="1:14">
      <c r="A962" s="12" t="s">
        <v>9498</v>
      </c>
      <c r="B962" s="8">
        <v>26940.918816934402</v>
      </c>
      <c r="C962" s="12">
        <v>62562.202300853503</v>
      </c>
      <c r="D962" s="8">
        <v>-1.2154922443844101</v>
      </c>
      <c r="E962" s="12">
        <v>2.4636729422738502E-3</v>
      </c>
      <c r="F962" s="8" t="s">
        <v>745</v>
      </c>
      <c r="G962" s="12" t="s">
        <v>286</v>
      </c>
      <c r="H962" s="12">
        <v>1</v>
      </c>
      <c r="I962" s="13" t="str">
        <f>HYPERLINK("http://www.ncbi.nlm.nih.gov/gene/4711", "4711")</f>
        <v>4711</v>
      </c>
      <c r="J962" s="12" t="s">
        <v>16429</v>
      </c>
      <c r="K962" s="12" t="s">
        <v>16430</v>
      </c>
      <c r="L962" s="13" t="str">
        <f>HYPERLINK("http://asia.ensembl.org/Homo_sapiens/Gene/Summary?g=ENSG00000136521", "ENSG00000136521")</f>
        <v>ENSG00000136521</v>
      </c>
      <c r="M962" s="12" t="s">
        <v>16431</v>
      </c>
      <c r="N962" s="12" t="s">
        <v>16432</v>
      </c>
    </row>
    <row r="963" spans="1:14">
      <c r="A963" s="12" t="s">
        <v>4711</v>
      </c>
      <c r="B963" s="8">
        <v>2579.1652474996599</v>
      </c>
      <c r="C963" s="12">
        <v>5986.7848588731704</v>
      </c>
      <c r="D963" s="8">
        <v>-1.21487721670349</v>
      </c>
      <c r="E963" s="12">
        <v>5.9077283053940296E-3</v>
      </c>
      <c r="F963" s="8" t="s">
        <v>4712</v>
      </c>
      <c r="G963" s="12" t="s">
        <v>17739</v>
      </c>
      <c r="H963" s="12">
        <v>1</v>
      </c>
      <c r="I963" s="13" t="str">
        <f>HYPERLINK("http://www.ncbi.nlm.nih.gov/gene/11176", "11176")</f>
        <v>11176</v>
      </c>
      <c r="J963" s="13" t="str">
        <f>HYPERLINK("http://www.ncbi.nlm.nih.gov/nuccore/NM_013449", "NM_013449")</f>
        <v>NM_013449</v>
      </c>
      <c r="K963" s="12" t="s">
        <v>4713</v>
      </c>
      <c r="L963" s="13" t="str">
        <f>HYPERLINK("http://asia.ensembl.org/Homo_sapiens/Gene/Summary?g=ENSG00000076108", "ENSG00000076108")</f>
        <v>ENSG00000076108</v>
      </c>
      <c r="M963" s="12" t="s">
        <v>17740</v>
      </c>
      <c r="N963" s="12" t="s">
        <v>17741</v>
      </c>
    </row>
    <row r="964" spans="1:14">
      <c r="A964" s="12" t="s">
        <v>6363</v>
      </c>
      <c r="B964" s="8">
        <v>83.887350654001693</v>
      </c>
      <c r="C964" s="12">
        <v>194.672354537497</v>
      </c>
      <c r="D964" s="8">
        <v>-1.2145228325070401</v>
      </c>
      <c r="E964" s="12">
        <v>4.4783309095651203E-3</v>
      </c>
      <c r="F964" s="8" t="s">
        <v>6364</v>
      </c>
      <c r="G964" s="12" t="s">
        <v>6365</v>
      </c>
      <c r="H964" s="12">
        <v>1</v>
      </c>
      <c r="I964" s="13" t="str">
        <f>HYPERLINK("http://www.ncbi.nlm.nih.gov/gene/8092", "8092")</f>
        <v>8092</v>
      </c>
      <c r="J964" s="13" t="str">
        <f>HYPERLINK("http://www.ncbi.nlm.nih.gov/nuccore/NM_006982", "NM_006982")</f>
        <v>NM_006982</v>
      </c>
      <c r="K964" s="12" t="s">
        <v>6366</v>
      </c>
      <c r="L964" s="13" t="str">
        <f>HYPERLINK("http://asia.ensembl.org/Homo_sapiens/Gene/Summary?g=ENSG00000180318", "ENSG00000180318")</f>
        <v>ENSG00000180318</v>
      </c>
      <c r="M964" s="12" t="s">
        <v>6367</v>
      </c>
      <c r="N964" s="12" t="s">
        <v>6368</v>
      </c>
    </row>
    <row r="965" spans="1:14">
      <c r="A965" s="12" t="s">
        <v>9449</v>
      </c>
      <c r="B965" s="8">
        <v>27683.574297372899</v>
      </c>
      <c r="C965" s="12">
        <v>64210.332606472803</v>
      </c>
      <c r="D965" s="8">
        <v>-1.2137752467504399</v>
      </c>
      <c r="E965" s="12">
        <v>1.8715314308763598E-2</v>
      </c>
      <c r="F965" s="8" t="s">
        <v>9450</v>
      </c>
      <c r="G965" s="12" t="s">
        <v>9451</v>
      </c>
      <c r="H965" s="12">
        <v>1</v>
      </c>
      <c r="I965" s="13" t="str">
        <f>HYPERLINK("http://www.ncbi.nlm.nih.gov/gene/284184", "284184")</f>
        <v>284184</v>
      </c>
      <c r="J965" s="13" t="str">
        <f>HYPERLINK("http://www.ncbi.nlm.nih.gov/nuccore/NM_001086521", "NM_001086521")</f>
        <v>NM_001086521</v>
      </c>
      <c r="K965" s="12" t="s">
        <v>9452</v>
      </c>
      <c r="L965" s="13" t="str">
        <f>HYPERLINK("http://asia.ensembl.org/Homo_sapiens/Gene/Summary?g=ENSG00000224877", "ENSG00000224877")</f>
        <v>ENSG00000224877</v>
      </c>
      <c r="M965" s="12" t="s">
        <v>19162</v>
      </c>
      <c r="N965" s="12" t="s">
        <v>19163</v>
      </c>
    </row>
    <row r="966" spans="1:14">
      <c r="A966" s="12" t="s">
        <v>7222</v>
      </c>
      <c r="B966" s="8">
        <v>394.58991603486197</v>
      </c>
      <c r="C966" s="12">
        <v>915.17819191673004</v>
      </c>
      <c r="D966" s="8">
        <v>-1.2136985864124401</v>
      </c>
      <c r="E966" s="12">
        <v>7.0287864551917996E-3</v>
      </c>
      <c r="F966" s="8" t="s">
        <v>7223</v>
      </c>
      <c r="G966" s="12" t="s">
        <v>352</v>
      </c>
      <c r="H966" s="12">
        <v>1</v>
      </c>
      <c r="I966" s="13" t="str">
        <f>HYPERLINK("http://www.ncbi.nlm.nih.gov/gene/11162", "11162")</f>
        <v>11162</v>
      </c>
      <c r="J966" s="12" t="s">
        <v>18432</v>
      </c>
      <c r="K966" s="12" t="s">
        <v>18433</v>
      </c>
      <c r="L966" s="13" t="str">
        <f>HYPERLINK("http://asia.ensembl.org/Homo_sapiens/Gene/Summary?g=ENSG00000170917", "ENSG00000170917")</f>
        <v>ENSG00000170917</v>
      </c>
      <c r="M966" s="12" t="s">
        <v>18434</v>
      </c>
      <c r="N966" s="12" t="s">
        <v>18435</v>
      </c>
    </row>
    <row r="967" spans="1:14">
      <c r="A967" s="12" t="s">
        <v>11397</v>
      </c>
      <c r="B967" s="8">
        <v>705.02266904359396</v>
      </c>
      <c r="C967" s="12">
        <v>1634.6538611184001</v>
      </c>
      <c r="D967" s="8">
        <v>-1.2132436253064101</v>
      </c>
      <c r="E967" s="12">
        <v>1.4084440416162501E-4</v>
      </c>
      <c r="F967" s="8" t="s">
        <v>11398</v>
      </c>
      <c r="G967" s="12" t="s">
        <v>20102</v>
      </c>
      <c r="H967" s="12">
        <v>4</v>
      </c>
      <c r="I967" s="12" t="s">
        <v>11399</v>
      </c>
      <c r="J967" s="12" t="s">
        <v>11400</v>
      </c>
      <c r="K967" s="12" t="s">
        <v>11401</v>
      </c>
      <c r="L967" s="12" t="s">
        <v>11402</v>
      </c>
      <c r="M967" s="12" t="s">
        <v>11403</v>
      </c>
      <c r="N967" s="12" t="s">
        <v>11404</v>
      </c>
    </row>
    <row r="968" spans="1:14">
      <c r="A968" s="12" t="s">
        <v>3326</v>
      </c>
      <c r="B968" s="8">
        <v>9851.5676168452501</v>
      </c>
      <c r="C968" s="12">
        <v>22834.189364483998</v>
      </c>
      <c r="D968" s="8">
        <v>-1.2127703588062499</v>
      </c>
      <c r="E968" s="12">
        <v>5.60731427792357E-3</v>
      </c>
      <c r="F968" s="8" t="s">
        <v>3327</v>
      </c>
      <c r="G968" s="12" t="s">
        <v>3328</v>
      </c>
      <c r="H968" s="12">
        <v>1</v>
      </c>
      <c r="I968" s="13" t="str">
        <f>HYPERLINK("http://www.ncbi.nlm.nih.gov/gene/51073", "51073")</f>
        <v>51073</v>
      </c>
      <c r="J968" s="12" t="s">
        <v>17275</v>
      </c>
      <c r="K968" s="12" t="s">
        <v>17276</v>
      </c>
      <c r="L968" s="13" t="str">
        <f>HYPERLINK("http://asia.ensembl.org/Homo_sapiens/Gene/Summary?g=ENSG00000105364", "ENSG00000105364")</f>
        <v>ENSG00000105364</v>
      </c>
      <c r="M968" s="12" t="s">
        <v>17277</v>
      </c>
      <c r="N968" s="12" t="s">
        <v>17278</v>
      </c>
    </row>
    <row r="969" spans="1:14">
      <c r="A969" s="12" t="s">
        <v>1588</v>
      </c>
      <c r="B969" s="8">
        <v>22032.588916494198</v>
      </c>
      <c r="C969" s="12">
        <v>51038.160545228202</v>
      </c>
      <c r="D969" s="8">
        <v>-1.21193730681206</v>
      </c>
      <c r="E969" s="12">
        <v>2.8022628669082698E-3</v>
      </c>
      <c r="F969" s="8" t="s">
        <v>1589</v>
      </c>
      <c r="G969" s="12" t="s">
        <v>1590</v>
      </c>
      <c r="H969" s="12">
        <v>1</v>
      </c>
      <c r="I969" s="13" t="str">
        <f>HYPERLINK("http://www.ncbi.nlm.nih.gov/gene/3035", "3035")</f>
        <v>3035</v>
      </c>
      <c r="J969" s="12" t="s">
        <v>16695</v>
      </c>
      <c r="K969" s="12" t="s">
        <v>16696</v>
      </c>
      <c r="L969" s="13" t="str">
        <f>HYPERLINK("http://asia.ensembl.org/Homo_sapiens/Gene/Summary?g=ENSG00000170445", "ENSG00000170445")</f>
        <v>ENSG00000170445</v>
      </c>
      <c r="M969" s="12" t="s">
        <v>16697</v>
      </c>
      <c r="N969" s="12" t="s">
        <v>16698</v>
      </c>
    </row>
    <row r="970" spans="1:14">
      <c r="A970" s="12" t="s">
        <v>10839</v>
      </c>
      <c r="B970" s="8">
        <v>7687.8392886052397</v>
      </c>
      <c r="C970" s="12">
        <v>17802.758950165498</v>
      </c>
      <c r="D970" s="8">
        <v>-1.21145075501475</v>
      </c>
      <c r="E970" s="12">
        <v>1.5284728163654799E-3</v>
      </c>
      <c r="F970" s="8" t="s">
        <v>6271</v>
      </c>
      <c r="G970" s="12" t="s">
        <v>6272</v>
      </c>
      <c r="H970" s="12">
        <v>1</v>
      </c>
      <c r="I970" s="13" t="str">
        <f>HYPERLINK("http://www.ncbi.nlm.nih.gov/gene/64745", "64745")</f>
        <v>64745</v>
      </c>
      <c r="J970" s="12" t="s">
        <v>18107</v>
      </c>
      <c r="K970" s="12" t="s">
        <v>18108</v>
      </c>
      <c r="L970" s="13" t="str">
        <f>HYPERLINK("http://asia.ensembl.org/Homo_sapiens/Gene/Summary?g=ENSG00000165792", "ENSG00000165792")</f>
        <v>ENSG00000165792</v>
      </c>
      <c r="M970" s="12" t="s">
        <v>18109</v>
      </c>
      <c r="N970" s="12" t="s">
        <v>18110</v>
      </c>
    </row>
    <row r="971" spans="1:14">
      <c r="A971" s="12" t="s">
        <v>8126</v>
      </c>
      <c r="B971" s="8">
        <v>276.17173530223602</v>
      </c>
      <c r="C971" s="12">
        <v>639.50602978847098</v>
      </c>
      <c r="D971" s="8">
        <v>-1.2113922870439999</v>
      </c>
      <c r="E971" s="12">
        <v>2.0812367583685602E-2</v>
      </c>
      <c r="F971" s="8" t="s">
        <v>8127</v>
      </c>
      <c r="G971" s="12" t="s">
        <v>8128</v>
      </c>
      <c r="H971" s="12">
        <v>1</v>
      </c>
      <c r="I971" s="13" t="str">
        <f>HYPERLINK("http://www.ncbi.nlm.nih.gov/gene/400566", "400566")</f>
        <v>400566</v>
      </c>
      <c r="J971" s="13" t="str">
        <f>HYPERLINK("http://www.ncbi.nlm.nih.gov/nuccore/NM_001013672", "NM_001013672")</f>
        <v>NM_001013672</v>
      </c>
      <c r="K971" s="12" t="s">
        <v>8129</v>
      </c>
      <c r="L971" s="13" t="str">
        <f>HYPERLINK("http://asia.ensembl.org/Homo_sapiens/Gene/Summary?g=ENSG00000187624", "ENSG00000187624")</f>
        <v>ENSG00000187624</v>
      </c>
      <c r="M971" s="12" t="s">
        <v>18729</v>
      </c>
      <c r="N971" s="12" t="s">
        <v>18730</v>
      </c>
    </row>
    <row r="972" spans="1:14">
      <c r="A972" s="12" t="s">
        <v>7247</v>
      </c>
      <c r="B972" s="8">
        <v>17051.036936430999</v>
      </c>
      <c r="C972" s="12">
        <v>39446.220800456802</v>
      </c>
      <c r="D972" s="8">
        <v>-1.21002760995032</v>
      </c>
      <c r="E972" s="12">
        <v>6.5336570946238903E-3</v>
      </c>
      <c r="F972" s="8" t="s">
        <v>7248</v>
      </c>
      <c r="G972" s="12" t="s">
        <v>7249</v>
      </c>
      <c r="H972" s="12">
        <v>1</v>
      </c>
      <c r="I972" s="13" t="str">
        <f>HYPERLINK("http://www.ncbi.nlm.nih.gov/gene/84650", "84650")</f>
        <v>84650</v>
      </c>
      <c r="J972" s="13" t="str">
        <f>HYPERLINK("http://www.ncbi.nlm.nih.gov/nuccore/NM_032565", "NM_032565")</f>
        <v>NM_032565</v>
      </c>
      <c r="K972" s="12" t="s">
        <v>7250</v>
      </c>
      <c r="L972" s="13" t="str">
        <f>HYPERLINK("http://asia.ensembl.org/Homo_sapiens/Gene/Summary?g=ENSG00000123179", "ENSG00000123179")</f>
        <v>ENSG00000123179</v>
      </c>
      <c r="M972" s="12" t="s">
        <v>18447</v>
      </c>
      <c r="N972" s="12" t="s">
        <v>18448</v>
      </c>
    </row>
    <row r="973" spans="1:14">
      <c r="A973" s="12" t="s">
        <v>8956</v>
      </c>
      <c r="B973" s="8">
        <v>53.618477949512197</v>
      </c>
      <c r="C973" s="12">
        <v>124.02806942698599</v>
      </c>
      <c r="D973" s="8">
        <v>-1.2098644895661299</v>
      </c>
      <c r="E973" s="12">
        <v>1.6804850891066699E-2</v>
      </c>
      <c r="F973" s="8" t="s">
        <v>8957</v>
      </c>
      <c r="G973" s="12" t="s">
        <v>8958</v>
      </c>
      <c r="H973" s="12">
        <v>1</v>
      </c>
      <c r="I973" s="13" t="str">
        <f>HYPERLINK("http://www.ncbi.nlm.nih.gov/gene/9479", "9479")</f>
        <v>9479</v>
      </c>
      <c r="J973" s="13" t="str">
        <f>HYPERLINK("http://www.ncbi.nlm.nih.gov/nuccore/NM_005456", "NM_005456")</f>
        <v>NM_005456</v>
      </c>
      <c r="K973" s="12" t="s">
        <v>8959</v>
      </c>
      <c r="L973" s="13" t="str">
        <f>HYPERLINK("http://asia.ensembl.org/Homo_sapiens/Gene/Summary?g=ENSG00000121653", "ENSG00000121653")</f>
        <v>ENSG00000121653</v>
      </c>
      <c r="M973" s="12" t="s">
        <v>19036</v>
      </c>
      <c r="N973" s="12" t="s">
        <v>19037</v>
      </c>
    </row>
    <row r="974" spans="1:14">
      <c r="A974" s="12" t="s">
        <v>33</v>
      </c>
      <c r="B974" s="8">
        <v>17035.596742552101</v>
      </c>
      <c r="C974" s="12">
        <v>39405.849403144603</v>
      </c>
      <c r="D974" s="8">
        <v>-1.2098573144807701</v>
      </c>
      <c r="E974" s="12">
        <v>5.0841928377459598E-3</v>
      </c>
      <c r="F974" s="8" t="s">
        <v>34</v>
      </c>
      <c r="G974" s="12" t="s">
        <v>16225</v>
      </c>
      <c r="H974" s="12">
        <v>1</v>
      </c>
      <c r="I974" s="13" t="str">
        <f>HYPERLINK("http://www.ncbi.nlm.nih.gov/gene/6390", "6390")</f>
        <v>6390</v>
      </c>
      <c r="J974" s="13" t="str">
        <f>HYPERLINK("http://www.ncbi.nlm.nih.gov/nuccore/NM_003000", "NM_003000")</f>
        <v>NM_003000</v>
      </c>
      <c r="K974" s="12" t="s">
        <v>35</v>
      </c>
      <c r="L974" s="13" t="str">
        <f>HYPERLINK("http://asia.ensembl.org/Homo_sapiens/Gene/Summary?g=ENSG00000117118", "ENSG00000117118")</f>
        <v>ENSG00000117118</v>
      </c>
      <c r="M974" s="12" t="s">
        <v>16226</v>
      </c>
      <c r="N974" s="12" t="s">
        <v>16227</v>
      </c>
    </row>
    <row r="975" spans="1:14">
      <c r="A975" s="12" t="s">
        <v>6495</v>
      </c>
      <c r="B975" s="8">
        <v>2038.3298905797701</v>
      </c>
      <c r="C975" s="12">
        <v>4714.1608765186502</v>
      </c>
      <c r="D975" s="8">
        <v>-1.2096134318534799</v>
      </c>
      <c r="E975" s="12">
        <v>7.2668602914210704E-3</v>
      </c>
      <c r="F975" s="8" t="s">
        <v>6496</v>
      </c>
      <c r="G975" s="12" t="s">
        <v>6497</v>
      </c>
      <c r="H975" s="12">
        <v>1</v>
      </c>
      <c r="I975" s="13" t="str">
        <f>HYPERLINK("http://www.ncbi.nlm.nih.gov/gene/80306", "80306")</f>
        <v>80306</v>
      </c>
      <c r="J975" s="13" t="str">
        <f>HYPERLINK("http://www.ncbi.nlm.nih.gov/nuccore/NM_025205", "NM_025205")</f>
        <v>NM_025205</v>
      </c>
      <c r="K975" s="12" t="s">
        <v>6498</v>
      </c>
      <c r="L975" s="13" t="str">
        <f>HYPERLINK("http://asia.ensembl.org/Homo_sapiens/Gene/Summary?g=ENSG00000118579", "ENSG00000118579")</f>
        <v>ENSG00000118579</v>
      </c>
      <c r="M975" s="12" t="s">
        <v>18188</v>
      </c>
      <c r="N975" s="12" t="s">
        <v>18189</v>
      </c>
    </row>
    <row r="976" spans="1:14">
      <c r="A976" s="12" t="s">
        <v>980</v>
      </c>
      <c r="B976" s="8">
        <v>50</v>
      </c>
      <c r="C976" s="12">
        <v>115.61229627513499</v>
      </c>
      <c r="D976" s="8">
        <v>-1.2092948479401699</v>
      </c>
      <c r="E976" s="12">
        <v>2.9289052343166402E-3</v>
      </c>
      <c r="F976" s="8" t="s">
        <v>981</v>
      </c>
      <c r="G976" s="12" t="s">
        <v>982</v>
      </c>
      <c r="H976" s="12">
        <v>1</v>
      </c>
      <c r="I976" s="13" t="str">
        <f>HYPERLINK("http://www.ncbi.nlm.nih.gov/gene/64420", "64420")</f>
        <v>64420</v>
      </c>
      <c r="J976" s="13" t="str">
        <f>HYPERLINK("http://www.ncbi.nlm.nih.gov/nuccore/NM_022486", "NM_022486")</f>
        <v>NM_022486</v>
      </c>
      <c r="K976" s="12" t="s">
        <v>983</v>
      </c>
      <c r="L976" s="13" t="str">
        <f>HYPERLINK("http://asia.ensembl.org/Homo_sapiens/Gene/Summary?g=ENSG00000106868", "ENSG00000106868")</f>
        <v>ENSG00000106868</v>
      </c>
      <c r="M976" s="12" t="s">
        <v>16475</v>
      </c>
      <c r="N976" s="12" t="s">
        <v>16476</v>
      </c>
    </row>
    <row r="977" spans="1:14">
      <c r="A977" s="12" t="s">
        <v>9148</v>
      </c>
      <c r="B977" s="8">
        <v>12066.629189122799</v>
      </c>
      <c r="C977" s="12">
        <v>27890.767137527699</v>
      </c>
      <c r="D977" s="8">
        <v>-1.2087649005897201</v>
      </c>
      <c r="E977" s="12">
        <v>1.08994839194645E-3</v>
      </c>
      <c r="F977" s="8" t="s">
        <v>9149</v>
      </c>
      <c r="G977" s="12" t="s">
        <v>9150</v>
      </c>
      <c r="H977" s="12">
        <v>1</v>
      </c>
      <c r="I977" s="13" t="str">
        <f>HYPERLINK("http://www.ncbi.nlm.nih.gov/gene/7134", "7134")</f>
        <v>7134</v>
      </c>
      <c r="J977" s="13" t="str">
        <f>HYPERLINK("http://www.ncbi.nlm.nih.gov/nuccore/NM_003280", "NM_003280")</f>
        <v>NM_003280</v>
      </c>
      <c r="K977" s="12" t="s">
        <v>9151</v>
      </c>
      <c r="L977" s="13" t="str">
        <f>HYPERLINK("http://asia.ensembl.org/Homo_sapiens/Gene/Summary?g=ENSG00000114854", "ENSG00000114854")</f>
        <v>ENSG00000114854</v>
      </c>
      <c r="M977" s="12" t="s">
        <v>19075</v>
      </c>
      <c r="N977" s="12" t="s">
        <v>19076</v>
      </c>
    </row>
    <row r="978" spans="1:14">
      <c r="A978" s="12" t="s">
        <v>1252</v>
      </c>
      <c r="B978" s="8">
        <v>2056.3789660913499</v>
      </c>
      <c r="C978" s="12">
        <v>4752.1672008264504</v>
      </c>
      <c r="D978" s="8">
        <v>-1.20847943648448</v>
      </c>
      <c r="E978" s="12">
        <v>1.0377269345895901E-3</v>
      </c>
      <c r="F978" s="8" t="s">
        <v>1253</v>
      </c>
      <c r="G978" s="12" t="s">
        <v>1254</v>
      </c>
      <c r="H978" s="12">
        <v>1</v>
      </c>
      <c r="I978" s="13" t="str">
        <f>HYPERLINK("http://www.ncbi.nlm.nih.gov/gene/9540", "9540")</f>
        <v>9540</v>
      </c>
      <c r="J978" s="12" t="s">
        <v>16558</v>
      </c>
      <c r="K978" s="12" t="s">
        <v>16559</v>
      </c>
      <c r="L978" s="13" t="str">
        <f>HYPERLINK("http://asia.ensembl.org/Homo_sapiens/Gene/Summary?g=ENSG00000115129", "ENSG00000115129")</f>
        <v>ENSG00000115129</v>
      </c>
      <c r="M978" s="12" t="s">
        <v>16560</v>
      </c>
      <c r="N978" s="12" t="s">
        <v>16561</v>
      </c>
    </row>
    <row r="979" spans="1:14">
      <c r="A979" s="12" t="s">
        <v>8821</v>
      </c>
      <c r="B979" s="8">
        <v>5669.7606784028603</v>
      </c>
      <c r="C979" s="12">
        <v>13096.5699122572</v>
      </c>
      <c r="D979" s="8">
        <v>-1.20782926366625</v>
      </c>
      <c r="E979" s="12">
        <v>1.1249577321522399E-2</v>
      </c>
      <c r="F979" s="8" t="s">
        <v>8822</v>
      </c>
      <c r="G979" s="12" t="s">
        <v>8823</v>
      </c>
      <c r="H979" s="12">
        <v>1</v>
      </c>
      <c r="I979" s="13" t="str">
        <f>HYPERLINK("http://www.ncbi.nlm.nih.gov/gene/28958", "28958")</f>
        <v>28958</v>
      </c>
      <c r="J979" s="13" t="str">
        <f>HYPERLINK("http://www.ncbi.nlm.nih.gov/nuccore/NM_001040431", "NM_001040431")</f>
        <v>NM_001040431</v>
      </c>
      <c r="K979" s="12" t="s">
        <v>8824</v>
      </c>
      <c r="L979" s="13" t="str">
        <f>HYPERLINK("http://asia.ensembl.org/Homo_sapiens/Gene/Summary?g=ENSG00000183978", "ENSG00000183978")</f>
        <v>ENSG00000183978</v>
      </c>
      <c r="M979" s="12" t="s">
        <v>18964</v>
      </c>
      <c r="N979" s="12" t="s">
        <v>18965</v>
      </c>
    </row>
    <row r="980" spans="1:14">
      <c r="A980" s="12" t="s">
        <v>1371</v>
      </c>
      <c r="B980" s="8">
        <v>20056.6337335143</v>
      </c>
      <c r="C980" s="12">
        <v>46303.428534804203</v>
      </c>
      <c r="D980" s="8">
        <v>-1.2070395345832901</v>
      </c>
      <c r="E980" s="12">
        <v>4.85037303054567E-3</v>
      </c>
      <c r="F980" s="8" t="s">
        <v>1372</v>
      </c>
      <c r="G980" s="12" t="s">
        <v>1373</v>
      </c>
      <c r="H980" s="12">
        <v>1</v>
      </c>
      <c r="I980" s="13" t="str">
        <f>HYPERLINK("http://www.ncbi.nlm.nih.gov/gene/128308", "128308")</f>
        <v>128308</v>
      </c>
      <c r="J980" s="12" t="s">
        <v>16594</v>
      </c>
      <c r="K980" s="12" t="s">
        <v>16595</v>
      </c>
      <c r="L980" s="13" t="str">
        <f>HYPERLINK("http://asia.ensembl.org/Homo_sapiens/Gene/Summary?g=ENSG00000162910", "ENSG00000162910")</f>
        <v>ENSG00000162910</v>
      </c>
      <c r="M980" s="12" t="s">
        <v>16596</v>
      </c>
      <c r="N980" s="12" t="s">
        <v>16597</v>
      </c>
    </row>
    <row r="981" spans="1:14">
      <c r="A981" s="12" t="s">
        <v>2266</v>
      </c>
      <c r="B981" s="8">
        <v>115.01465733309099</v>
      </c>
      <c r="C981" s="12">
        <v>265.28255376681199</v>
      </c>
      <c r="D981" s="8">
        <v>-1.20571207199871</v>
      </c>
      <c r="E981" s="12">
        <v>1.1085337452209801E-3</v>
      </c>
      <c r="F981" s="8" t="s">
        <v>2267</v>
      </c>
      <c r="G981" s="12" t="s">
        <v>16967</v>
      </c>
      <c r="H981" s="12">
        <v>1</v>
      </c>
      <c r="I981" s="13" t="str">
        <f>HYPERLINK("http://www.ncbi.nlm.nih.gov/gene/50651", "50651")</f>
        <v>50651</v>
      </c>
      <c r="J981" s="13" t="str">
        <f>HYPERLINK("http://www.ncbi.nlm.nih.gov/nuccore/NM_001080397", "NM_001080397")</f>
        <v>NM_001080397</v>
      </c>
      <c r="K981" s="12" t="s">
        <v>2268</v>
      </c>
      <c r="L981" s="13" t="str">
        <f>HYPERLINK("http://asia.ensembl.org/Homo_sapiens/Gene/Summary?g=ENSG00000162426", "ENSG00000162426")</f>
        <v>ENSG00000162426</v>
      </c>
      <c r="M981" s="12" t="s">
        <v>16968</v>
      </c>
      <c r="N981" s="12" t="s">
        <v>16969</v>
      </c>
    </row>
    <row r="982" spans="1:14">
      <c r="A982" s="12" t="s">
        <v>6411</v>
      </c>
      <c r="B982" s="8">
        <v>704.82624911155096</v>
      </c>
      <c r="C982" s="12">
        <v>1625.6625352132501</v>
      </c>
      <c r="D982" s="8">
        <v>-1.2056882460331999</v>
      </c>
      <c r="E982" s="12">
        <v>3.2576692495059202E-3</v>
      </c>
      <c r="F982" s="8" t="s">
        <v>6412</v>
      </c>
      <c r="G982" s="12" t="s">
        <v>286</v>
      </c>
      <c r="H982" s="12">
        <v>1</v>
      </c>
      <c r="I982" s="13" t="str">
        <f>HYPERLINK("http://www.ncbi.nlm.nih.gov/gene/4709", "4709")</f>
        <v>4709</v>
      </c>
      <c r="J982" s="12" t="s">
        <v>18158</v>
      </c>
      <c r="K982" s="12" t="s">
        <v>18159</v>
      </c>
      <c r="L982" s="13" t="str">
        <f>HYPERLINK("http://asia.ensembl.org/Homo_sapiens/Gene/Summary?g=ENSG00000119013", "ENSG00000119013")</f>
        <v>ENSG00000119013</v>
      </c>
      <c r="M982" s="12" t="s">
        <v>18160</v>
      </c>
      <c r="N982" s="12" t="s">
        <v>18161</v>
      </c>
    </row>
    <row r="983" spans="1:14">
      <c r="A983" s="12" t="s">
        <v>2222</v>
      </c>
      <c r="B983" s="8">
        <v>115.899168916965</v>
      </c>
      <c r="C983" s="12">
        <v>267.25936780486899</v>
      </c>
      <c r="D983" s="8">
        <v>-1.20537029607067</v>
      </c>
      <c r="E983" s="12">
        <v>2.4532403407435499E-4</v>
      </c>
      <c r="F983" s="8" t="s">
        <v>2223</v>
      </c>
      <c r="G983" s="12" t="s">
        <v>2224</v>
      </c>
      <c r="H983" s="12">
        <v>1</v>
      </c>
      <c r="I983" s="13" t="str">
        <f>HYPERLINK("http://www.ncbi.nlm.nih.gov/gene/10023", "10023")</f>
        <v>10023</v>
      </c>
      <c r="J983" s="13" t="str">
        <f>HYPERLINK("http://www.ncbi.nlm.nih.gov/nuccore/NM_005479", "NM_005479")</f>
        <v>NM_005479</v>
      </c>
      <c r="K983" s="12" t="s">
        <v>2225</v>
      </c>
      <c r="L983" s="13" t="str">
        <f>HYPERLINK("http://asia.ensembl.org/Homo_sapiens/Gene/Summary?g=ENSG00000165879", "ENSG00000165879")</f>
        <v>ENSG00000165879</v>
      </c>
      <c r="M983" s="12" t="s">
        <v>16962</v>
      </c>
      <c r="N983" s="12" t="s">
        <v>2226</v>
      </c>
    </row>
    <row r="984" spans="1:14">
      <c r="A984" s="12" t="s">
        <v>5515</v>
      </c>
      <c r="B984" s="8">
        <v>160.61449449044201</v>
      </c>
      <c r="C984" s="12">
        <v>370.205453911098</v>
      </c>
      <c r="D984" s="8">
        <v>-1.20472405605565</v>
      </c>
      <c r="E984" s="12">
        <v>2.0163830839304299E-3</v>
      </c>
      <c r="F984" s="8" t="s">
        <v>5516</v>
      </c>
      <c r="G984" s="12" t="s">
        <v>17889</v>
      </c>
      <c r="H984" s="12">
        <v>1</v>
      </c>
      <c r="I984" s="13" t="str">
        <f>HYPERLINK("http://www.ncbi.nlm.nih.gov/gene/162494", "162494")</f>
        <v>162494</v>
      </c>
      <c r="J984" s="13" t="str">
        <f>HYPERLINK("http://www.ncbi.nlm.nih.gov/nuccore/NM_138328", "NM_138328")</f>
        <v>NM_138328</v>
      </c>
      <c r="K984" s="12" t="s">
        <v>5517</v>
      </c>
      <c r="L984" s="13" t="str">
        <f>HYPERLINK("http://asia.ensembl.org/Homo_sapiens/Gene/Summary?g=ENSG00000141314", "ENSG00000141314")</f>
        <v>ENSG00000141314</v>
      </c>
      <c r="M984" s="12" t="s">
        <v>17890</v>
      </c>
      <c r="N984" s="12" t="s">
        <v>17891</v>
      </c>
    </row>
    <row r="985" spans="1:14">
      <c r="A985" s="12" t="s">
        <v>9799</v>
      </c>
      <c r="B985" s="8">
        <v>39582.492460700603</v>
      </c>
      <c r="C985" s="12">
        <v>91176.812302734397</v>
      </c>
      <c r="D985" s="8">
        <v>-1.2038045110268201</v>
      </c>
      <c r="E985" s="12">
        <v>9.0312172880172396E-3</v>
      </c>
      <c r="F985" s="8" t="s">
        <v>38</v>
      </c>
      <c r="G985" s="12" t="s">
        <v>38</v>
      </c>
      <c r="H985" s="12">
        <v>1</v>
      </c>
      <c r="I985" s="12" t="s">
        <v>38</v>
      </c>
      <c r="J985" s="12" t="s">
        <v>38</v>
      </c>
      <c r="K985" s="12" t="s">
        <v>38</v>
      </c>
      <c r="L985" s="13" t="str">
        <f>HYPERLINK("http://asia.ensembl.org/Homo_sapiens/Gene/Summary?g=ENSG00000232112", "ENSG00000232112")</f>
        <v>ENSG00000232112</v>
      </c>
      <c r="M985" s="12" t="s">
        <v>9800</v>
      </c>
      <c r="N985" s="12" t="s">
        <v>9801</v>
      </c>
    </row>
    <row r="986" spans="1:14">
      <c r="A986" s="12" t="s">
        <v>3535</v>
      </c>
      <c r="B986" s="8">
        <v>1478.8822190887199</v>
      </c>
      <c r="C986" s="12">
        <v>3405.9929321807599</v>
      </c>
      <c r="D986" s="8">
        <v>-1.2035682831501899</v>
      </c>
      <c r="E986" s="12">
        <v>4.0741888180464203E-2</v>
      </c>
      <c r="F986" s="8" t="s">
        <v>3536</v>
      </c>
      <c r="G986" s="12" t="s">
        <v>754</v>
      </c>
      <c r="H986" s="12">
        <v>1</v>
      </c>
      <c r="I986" s="13" t="str">
        <f>HYPERLINK("http://www.ncbi.nlm.nih.gov/gene/64579", "64579")</f>
        <v>64579</v>
      </c>
      <c r="J986" s="13" t="str">
        <f>HYPERLINK("http://www.ncbi.nlm.nih.gov/nuccore/NM_022569", "NM_022569")</f>
        <v>NM_022569</v>
      </c>
      <c r="K986" s="12" t="s">
        <v>3537</v>
      </c>
      <c r="L986" s="13" t="str">
        <f>HYPERLINK("http://asia.ensembl.org/Homo_sapiens/Gene/Summary?g=ENSG00000138653", "ENSG00000138653")</f>
        <v>ENSG00000138653</v>
      </c>
      <c r="M986" s="12" t="s">
        <v>17339</v>
      </c>
      <c r="N986" s="12" t="s">
        <v>17340</v>
      </c>
    </row>
    <row r="987" spans="1:14">
      <c r="A987" s="12" t="s">
        <v>9988</v>
      </c>
      <c r="B987" s="8">
        <v>1670.96957023502</v>
      </c>
      <c r="C987" s="12">
        <v>3848.3756915905701</v>
      </c>
      <c r="D987" s="8">
        <v>-1.2035641858597601</v>
      </c>
      <c r="E987" s="12">
        <v>5.1122457517733004E-3</v>
      </c>
      <c r="F987" s="8" t="s">
        <v>9989</v>
      </c>
      <c r="G987" s="12" t="s">
        <v>19491</v>
      </c>
      <c r="H987" s="12">
        <v>1</v>
      </c>
      <c r="I987" s="13" t="str">
        <f>HYPERLINK("http://www.ncbi.nlm.nih.gov/gene/113179", "113179")</f>
        <v>113179</v>
      </c>
      <c r="J987" s="13" t="str">
        <f>HYPERLINK("http://www.ncbi.nlm.nih.gov/nuccore/NM_138422", "NM_138422")</f>
        <v>NM_138422</v>
      </c>
      <c r="K987" s="12" t="s">
        <v>9990</v>
      </c>
      <c r="L987" s="13" t="str">
        <f>HYPERLINK("http://asia.ensembl.org/Homo_sapiens/Gene/Summary?g=ENSG00000213638", "ENSG00000213638")</f>
        <v>ENSG00000213638</v>
      </c>
      <c r="M987" s="12" t="s">
        <v>19492</v>
      </c>
      <c r="N987" s="12" t="s">
        <v>19493</v>
      </c>
    </row>
    <row r="988" spans="1:14">
      <c r="A988" s="12" t="s">
        <v>7317</v>
      </c>
      <c r="B988" s="8">
        <v>37374.771713580798</v>
      </c>
      <c r="C988" s="12">
        <v>86075.636978482304</v>
      </c>
      <c r="D988" s="8">
        <v>-1.20354018478693</v>
      </c>
      <c r="E988" s="12">
        <v>1.4394271393927799E-3</v>
      </c>
      <c r="F988" s="8" t="s">
        <v>7318</v>
      </c>
      <c r="G988" s="12" t="s">
        <v>7319</v>
      </c>
      <c r="H988" s="12">
        <v>1</v>
      </c>
      <c r="I988" s="13" t="str">
        <f>HYPERLINK("http://www.ncbi.nlm.nih.gov/gene/6125", "6125")</f>
        <v>6125</v>
      </c>
      <c r="J988" s="13" t="str">
        <f>HYPERLINK("http://www.ncbi.nlm.nih.gov/nuccore/NM_000969", "NM_000969")</f>
        <v>NM_000969</v>
      </c>
      <c r="K988" s="12" t="s">
        <v>7320</v>
      </c>
      <c r="L988" s="13" t="str">
        <f>HYPERLINK("http://asia.ensembl.org/Homo_sapiens/Gene/Summary?g=ENSG00000122406", "ENSG00000122406")</f>
        <v>ENSG00000122406</v>
      </c>
      <c r="M988" s="12" t="s">
        <v>18479</v>
      </c>
      <c r="N988" s="12" t="s">
        <v>18480</v>
      </c>
    </row>
    <row r="989" spans="1:14">
      <c r="A989" s="12" t="s">
        <v>8905</v>
      </c>
      <c r="B989" s="8">
        <v>1866.03833133135</v>
      </c>
      <c r="C989" s="12">
        <v>4296.6744676751396</v>
      </c>
      <c r="D989" s="8">
        <v>-1.20324185551856</v>
      </c>
      <c r="E989" s="12">
        <v>1.28758803318738E-3</v>
      </c>
      <c r="F989" s="8" t="s">
        <v>5685</v>
      </c>
      <c r="G989" s="12" t="s">
        <v>5686</v>
      </c>
      <c r="H989" s="12">
        <v>1</v>
      </c>
      <c r="I989" s="13" t="str">
        <f>HYPERLINK("http://www.ncbi.nlm.nih.gov/gene/51510", "51510")</f>
        <v>51510</v>
      </c>
      <c r="J989" s="12" t="s">
        <v>19007</v>
      </c>
      <c r="K989" s="12" t="s">
        <v>19008</v>
      </c>
      <c r="L989" s="13" t="str">
        <f>HYPERLINK("http://asia.ensembl.org/Homo_sapiens/Gene/Summary?g=ENSG00000086065", "ENSG00000086065")</f>
        <v>ENSG00000086065</v>
      </c>
      <c r="M989" s="12" t="s">
        <v>19009</v>
      </c>
      <c r="N989" s="12" t="s">
        <v>19010</v>
      </c>
    </row>
    <row r="990" spans="1:14">
      <c r="A990" s="12" t="s">
        <v>3418</v>
      </c>
      <c r="B990" s="8">
        <v>68.438830185665296</v>
      </c>
      <c r="C990" s="12">
        <v>157.56158217723899</v>
      </c>
      <c r="D990" s="8">
        <v>-1.20302880377901</v>
      </c>
      <c r="E990" s="12">
        <v>4.5919572444317498E-2</v>
      </c>
      <c r="F990" s="8" t="s">
        <v>3419</v>
      </c>
      <c r="G990" s="12" t="s">
        <v>3420</v>
      </c>
      <c r="H990" s="12">
        <v>1</v>
      </c>
      <c r="I990" s="13" t="str">
        <f>HYPERLINK("http://www.ncbi.nlm.nih.gov/gene/80129", "80129")</f>
        <v>80129</v>
      </c>
      <c r="J990" s="13" t="str">
        <f>HYPERLINK("http://www.ncbi.nlm.nih.gov/nuccore/NM_025059", "NM_025059")</f>
        <v>NM_025059</v>
      </c>
      <c r="K990" s="12" t="s">
        <v>3421</v>
      </c>
      <c r="L990" s="13" t="str">
        <f>HYPERLINK("http://asia.ensembl.org/Homo_sapiens/Gene/Summary?g=ENSG00000120262", "ENSG00000120262")</f>
        <v>ENSG00000120262</v>
      </c>
      <c r="M990" s="12" t="s">
        <v>17302</v>
      </c>
      <c r="N990" s="12" t="s">
        <v>3422</v>
      </c>
    </row>
    <row r="991" spans="1:14">
      <c r="A991" s="12" t="s">
        <v>5149</v>
      </c>
      <c r="B991" s="8">
        <v>115.55268333172501</v>
      </c>
      <c r="C991" s="12">
        <v>266.01057352408498</v>
      </c>
      <c r="D991" s="8">
        <v>-1.2029328297945501</v>
      </c>
      <c r="E991" s="12">
        <v>3.62035822989344E-3</v>
      </c>
      <c r="F991" s="8" t="s">
        <v>5150</v>
      </c>
      <c r="G991" s="12" t="s">
        <v>5151</v>
      </c>
      <c r="H991" s="12">
        <v>1</v>
      </c>
      <c r="I991" s="13" t="str">
        <f>HYPERLINK("http://www.ncbi.nlm.nih.gov/gene/282679", "282679")</f>
        <v>282679</v>
      </c>
      <c r="J991" s="13" t="str">
        <f>HYPERLINK("http://www.ncbi.nlm.nih.gov/nuccore/NM_173039", "NM_173039")</f>
        <v>NM_173039</v>
      </c>
      <c r="K991" s="12" t="s">
        <v>5152</v>
      </c>
      <c r="L991" s="13" t="str">
        <f>HYPERLINK("http://asia.ensembl.org/Homo_sapiens/Gene/Summary?g=ENSG00000178301", "ENSG00000178301")</f>
        <v>ENSG00000178301</v>
      </c>
      <c r="M991" s="12" t="s">
        <v>17808</v>
      </c>
      <c r="N991" s="12" t="s">
        <v>5153</v>
      </c>
    </row>
    <row r="992" spans="1:14">
      <c r="A992" s="12" t="s">
        <v>8322</v>
      </c>
      <c r="B992" s="8">
        <v>870.890598655757</v>
      </c>
      <c r="C992" s="12">
        <v>2003.65243203708</v>
      </c>
      <c r="D992" s="8">
        <v>-1.2020688661210801</v>
      </c>
      <c r="E992" s="12">
        <v>8.6094566603647695E-3</v>
      </c>
      <c r="F992" s="8" t="s">
        <v>8323</v>
      </c>
      <c r="G992" s="12" t="s">
        <v>8324</v>
      </c>
      <c r="H992" s="12">
        <v>1</v>
      </c>
      <c r="I992" s="13" t="str">
        <f>HYPERLINK("http://www.ncbi.nlm.nih.gov/gene/348110", "348110")</f>
        <v>348110</v>
      </c>
      <c r="J992" s="13" t="str">
        <f>HYPERLINK("http://www.ncbi.nlm.nih.gov/nuccore/NM_182616", "NM_182616")</f>
        <v>NM_182616</v>
      </c>
      <c r="K992" s="12" t="s">
        <v>8325</v>
      </c>
      <c r="L992" s="13" t="str">
        <f>HYPERLINK("http://asia.ensembl.org/Homo_sapiens/Gene/Summary?g=ENSG00000242498", "ENSG00000242498")</f>
        <v>ENSG00000242498</v>
      </c>
      <c r="M992" s="12" t="s">
        <v>18791</v>
      </c>
      <c r="N992" s="12" t="s">
        <v>18792</v>
      </c>
    </row>
    <row r="993" spans="1:14">
      <c r="A993" s="12" t="s">
        <v>7993</v>
      </c>
      <c r="B993" s="8">
        <v>105.656789140835</v>
      </c>
      <c r="C993" s="12">
        <v>242.99766127584201</v>
      </c>
      <c r="D993" s="8">
        <v>-1.20155695586153</v>
      </c>
      <c r="E993" s="12">
        <v>1.03581927980886E-3</v>
      </c>
      <c r="F993" s="8" t="s">
        <v>7994</v>
      </c>
      <c r="G993" s="12" t="s">
        <v>7995</v>
      </c>
      <c r="H993" s="12">
        <v>1</v>
      </c>
      <c r="I993" s="13" t="str">
        <f>HYPERLINK("http://www.ncbi.nlm.nih.gov/gene/339290", "339290")</f>
        <v>339290</v>
      </c>
      <c r="J993" s="13" t="str">
        <f>HYPERLINK("http://www.ncbi.nlm.nih.gov/nuccore/NR_015389", "NR_015389")</f>
        <v>NR_015389</v>
      </c>
      <c r="K993" s="12" t="s">
        <v>199</v>
      </c>
      <c r="L993" s="13" t="str">
        <f>HYPERLINK("http://asia.ensembl.org/Homo_sapiens/Gene/Summary?g=ENSG00000263753", "ENSG00000263753")</f>
        <v>ENSG00000263753</v>
      </c>
      <c r="M993" s="12" t="s">
        <v>18698</v>
      </c>
    </row>
    <row r="994" spans="1:14">
      <c r="A994" s="12" t="s">
        <v>1702</v>
      </c>
      <c r="B994" s="8">
        <v>17914.525931709399</v>
      </c>
      <c r="C994" s="12">
        <v>41199.581241781299</v>
      </c>
      <c r="D994" s="8">
        <v>-1.2014998074102201</v>
      </c>
      <c r="E994" s="12">
        <v>9.6714355490148604E-3</v>
      </c>
      <c r="F994" s="8" t="s">
        <v>1703</v>
      </c>
      <c r="G994" s="12" t="s">
        <v>1704</v>
      </c>
      <c r="H994" s="12">
        <v>1</v>
      </c>
      <c r="I994" s="13" t="str">
        <f>HYPERLINK("http://www.ncbi.nlm.nih.gov/gene/51650", "51650")</f>
        <v>51650</v>
      </c>
      <c r="J994" s="12" t="s">
        <v>16761</v>
      </c>
      <c r="K994" s="12" t="s">
        <v>16762</v>
      </c>
      <c r="L994" s="13" t="str">
        <f>HYPERLINK("http://asia.ensembl.org/Homo_sapiens/Gene/Summary?g=ENSG00000090263", "ENSG00000090263")</f>
        <v>ENSG00000090263</v>
      </c>
      <c r="M994" s="12" t="s">
        <v>16763</v>
      </c>
      <c r="N994" s="12" t="s">
        <v>16764</v>
      </c>
    </row>
    <row r="995" spans="1:14">
      <c r="A995" s="12" t="s">
        <v>3672</v>
      </c>
      <c r="B995" s="8">
        <v>29247.380787105802</v>
      </c>
      <c r="C995" s="12">
        <v>67262.435046528495</v>
      </c>
      <c r="D995" s="8">
        <v>-1.20149357679344</v>
      </c>
      <c r="E995" s="12">
        <v>2.9474028429835302E-3</v>
      </c>
      <c r="F995" s="8" t="s">
        <v>3673</v>
      </c>
      <c r="G995" s="12" t="s">
        <v>3674</v>
      </c>
      <c r="H995" s="12">
        <v>1</v>
      </c>
      <c r="I995" s="13" t="str">
        <f>HYPERLINK("http://www.ncbi.nlm.nih.gov/gene/3927", "3927")</f>
        <v>3927</v>
      </c>
      <c r="J995" s="12" t="s">
        <v>17373</v>
      </c>
      <c r="K995" s="12" t="s">
        <v>17374</v>
      </c>
      <c r="L995" s="13" t="str">
        <f>HYPERLINK("http://asia.ensembl.org/Homo_sapiens/Gene/Summary?g=ENSG00000002834", "ENSG00000002834")</f>
        <v>ENSG00000002834</v>
      </c>
      <c r="M995" s="12" t="s">
        <v>17375</v>
      </c>
      <c r="N995" s="12" t="s">
        <v>17376</v>
      </c>
    </row>
    <row r="996" spans="1:14">
      <c r="A996" s="12" t="s">
        <v>9976</v>
      </c>
      <c r="B996" s="8">
        <v>9206.6707597407094</v>
      </c>
      <c r="C996" s="12">
        <v>21168.786148369501</v>
      </c>
      <c r="D996" s="8">
        <v>-1.2011870850411099</v>
      </c>
      <c r="E996" s="12">
        <v>2.63751326982935E-3</v>
      </c>
      <c r="F996" s="8" t="s">
        <v>5406</v>
      </c>
      <c r="G996" s="12" t="s">
        <v>17874</v>
      </c>
      <c r="H996" s="12">
        <v>1</v>
      </c>
      <c r="I996" s="13" t="str">
        <f>HYPERLINK("http://www.ncbi.nlm.nih.gov/gene/6648", "6648")</f>
        <v>6648</v>
      </c>
      <c r="J996" s="12" t="s">
        <v>19489</v>
      </c>
      <c r="K996" s="12" t="s">
        <v>19490</v>
      </c>
      <c r="L996" s="13" t="str">
        <f>HYPERLINK("http://asia.ensembl.org/Homo_sapiens/Gene/Summary?g=ENSG00000112096", "ENSG00000112096")</f>
        <v>ENSG00000112096</v>
      </c>
      <c r="M996" s="12" t="s">
        <v>5408</v>
      </c>
    </row>
    <row r="997" spans="1:14">
      <c r="A997" s="12" t="s">
        <v>1831</v>
      </c>
      <c r="B997" s="8">
        <v>1109.2233206292201</v>
      </c>
      <c r="C997" s="12">
        <v>2550.2658705917001</v>
      </c>
      <c r="D997" s="8">
        <v>-1.2010978054799499</v>
      </c>
      <c r="E997" s="12">
        <v>5.8960170077805296E-3</v>
      </c>
      <c r="F997" s="8" t="s">
        <v>1832</v>
      </c>
      <c r="G997" s="12" t="s">
        <v>1833</v>
      </c>
      <c r="H997" s="12">
        <v>1</v>
      </c>
      <c r="I997" s="13" t="str">
        <f>HYPERLINK("http://www.ncbi.nlm.nih.gov/gene/6262", "6262")</f>
        <v>6262</v>
      </c>
      <c r="J997" s="13" t="str">
        <f>HYPERLINK("http://www.ncbi.nlm.nih.gov/nuccore/NM_001035", "NM_001035")</f>
        <v>NM_001035</v>
      </c>
      <c r="K997" s="12" t="s">
        <v>1834</v>
      </c>
      <c r="L997" s="13" t="str">
        <f>HYPERLINK("http://asia.ensembl.org/Homo_sapiens/Gene/Summary?g=ENSG00000198626", "ENSG00000198626")</f>
        <v>ENSG00000198626</v>
      </c>
      <c r="M997" s="12" t="s">
        <v>16805</v>
      </c>
      <c r="N997" s="12" t="s">
        <v>16806</v>
      </c>
    </row>
    <row r="998" spans="1:14">
      <c r="A998" s="12" t="s">
        <v>11632</v>
      </c>
      <c r="B998" s="8">
        <v>30924.429111723301</v>
      </c>
      <c r="C998" s="12">
        <v>71098.434461389901</v>
      </c>
      <c r="D998" s="8">
        <v>-1.2010708308329201</v>
      </c>
      <c r="E998" s="12">
        <v>2.0179378828044702E-3</v>
      </c>
      <c r="F998" s="8" t="s">
        <v>11633</v>
      </c>
      <c r="G998" s="12" t="s">
        <v>11634</v>
      </c>
      <c r="H998" s="12">
        <v>1</v>
      </c>
      <c r="I998" s="13" t="str">
        <f>HYPERLINK("http://www.ncbi.nlm.nih.gov/gene/8508", "8508")</f>
        <v>8508</v>
      </c>
      <c r="J998" s="12" t="s">
        <v>20153</v>
      </c>
      <c r="K998" s="12" t="s">
        <v>20154</v>
      </c>
      <c r="L998" s="13" t="str">
        <f>HYPERLINK("http://asia.ensembl.org/Homo_sapiens/Gene/Summary?g=ENSG00000184117", "ENSG00000184117")</f>
        <v>ENSG00000184117</v>
      </c>
      <c r="M998" s="12" t="s">
        <v>20155</v>
      </c>
      <c r="N998" s="12" t="s">
        <v>20156</v>
      </c>
    </row>
    <row r="999" spans="1:14">
      <c r="A999" s="12" t="s">
        <v>498</v>
      </c>
      <c r="B999" s="8">
        <v>7214.9547314534702</v>
      </c>
      <c r="C999" s="12">
        <v>16587.5796549101</v>
      </c>
      <c r="D999" s="8">
        <v>-1.20104114554654</v>
      </c>
      <c r="E999" s="12">
        <v>1.3130054259002001E-2</v>
      </c>
      <c r="F999" s="8" t="s">
        <v>499</v>
      </c>
      <c r="G999" s="12" t="s">
        <v>500</v>
      </c>
      <c r="H999" s="12">
        <v>1</v>
      </c>
      <c r="I999" s="13" t="str">
        <f>HYPERLINK("http://www.ncbi.nlm.nih.gov/gene/51188", "51188")</f>
        <v>51188</v>
      </c>
      <c r="J999" s="13" t="str">
        <f>HYPERLINK("http://www.ncbi.nlm.nih.gov/nuccore/NM_016305", "NM_016305")</f>
        <v>NM_016305</v>
      </c>
      <c r="K999" s="12" t="s">
        <v>501</v>
      </c>
      <c r="L999" s="13" t="str">
        <f>HYPERLINK("http://asia.ensembl.org/Homo_sapiens/Gene/Summary?g=ENSG00000008324", "ENSG00000008324")</f>
        <v>ENSG00000008324</v>
      </c>
      <c r="M999" s="12" t="s">
        <v>16351</v>
      </c>
      <c r="N999" s="12" t="s">
        <v>16352</v>
      </c>
    </row>
    <row r="1000" spans="1:14">
      <c r="A1000" s="12" t="s">
        <v>3260</v>
      </c>
      <c r="B1000" s="8">
        <v>1671.7665128105</v>
      </c>
      <c r="C1000" s="12">
        <v>3841.9050162952799</v>
      </c>
      <c r="D1000" s="8">
        <v>-1.2004484840321701</v>
      </c>
      <c r="E1000" s="12">
        <v>9.4099604833086496E-4</v>
      </c>
      <c r="F1000" s="8" t="s">
        <v>3261</v>
      </c>
      <c r="G1000" s="12" t="s">
        <v>3262</v>
      </c>
      <c r="H1000" s="12">
        <v>1</v>
      </c>
      <c r="I1000" s="13" t="str">
        <f>HYPERLINK("http://www.ncbi.nlm.nih.gov/gene/11257", "11257")</f>
        <v>11257</v>
      </c>
      <c r="J1000" s="13" t="str">
        <f>HYPERLINK("http://www.ncbi.nlm.nih.gov/nuccore/NR_015381", "NR_015381")</f>
        <v>NR_015381</v>
      </c>
      <c r="K1000" s="12" t="s">
        <v>199</v>
      </c>
      <c r="L1000" s="12" t="s">
        <v>38</v>
      </c>
      <c r="M1000" s="12" t="s">
        <v>38</v>
      </c>
      <c r="N1000" s="12" t="s">
        <v>38</v>
      </c>
    </row>
    <row r="1001" spans="1:14">
      <c r="A1001" s="12" t="s">
        <v>10819</v>
      </c>
      <c r="B1001" s="8">
        <v>306.64446444511299</v>
      </c>
      <c r="C1001" s="12">
        <v>703.946546980481</v>
      </c>
      <c r="D1001" s="8">
        <v>-1.1988989767137199</v>
      </c>
      <c r="E1001" s="12">
        <v>2.1637155003916401E-3</v>
      </c>
      <c r="F1001" s="8" t="s">
        <v>169</v>
      </c>
      <c r="G1001" s="12" t="s">
        <v>19870</v>
      </c>
      <c r="H1001" s="12">
        <v>1</v>
      </c>
      <c r="I1001" s="13" t="str">
        <f>HYPERLINK("http://www.ncbi.nlm.nih.gov/gene/1141", "1141")</f>
        <v>1141</v>
      </c>
      <c r="J1001" s="13" t="str">
        <f>HYPERLINK("http://www.ncbi.nlm.nih.gov/nuccore/NM_000748", "NM_000748")</f>
        <v>NM_000748</v>
      </c>
      <c r="K1001" s="12" t="s">
        <v>170</v>
      </c>
      <c r="L1001" s="13" t="str">
        <f>HYPERLINK("http://asia.ensembl.org/Homo_sapiens/Gene/Summary?g=ENSG00000160716", "ENSG00000160716")</f>
        <v>ENSG00000160716</v>
      </c>
      <c r="M1001" s="12" t="s">
        <v>171</v>
      </c>
      <c r="N1001" s="12" t="s">
        <v>172</v>
      </c>
    </row>
    <row r="1002" spans="1:14">
      <c r="A1002" s="12" t="s">
        <v>6493</v>
      </c>
      <c r="B1002" s="8">
        <v>3520.2557249267402</v>
      </c>
      <c r="C1002" s="12">
        <v>8080.8197717656303</v>
      </c>
      <c r="D1002" s="8">
        <v>-1.1988214213306201</v>
      </c>
      <c r="E1002" s="12">
        <v>3.0695167566727401E-3</v>
      </c>
      <c r="F1002" s="8" t="s">
        <v>6494</v>
      </c>
      <c r="G1002" s="12" t="s">
        <v>18183</v>
      </c>
      <c r="H1002" s="12">
        <v>1</v>
      </c>
      <c r="I1002" s="13" t="str">
        <f>HYPERLINK("http://www.ncbi.nlm.nih.gov/gene/27257", "27257")</f>
        <v>27257</v>
      </c>
      <c r="J1002" s="12" t="s">
        <v>18184</v>
      </c>
      <c r="K1002" s="12" t="s">
        <v>18185</v>
      </c>
      <c r="L1002" s="13" t="str">
        <f>HYPERLINK("http://asia.ensembl.org/Homo_sapiens/Gene/Summary?g=ENSG00000175324", "ENSG00000175324")</f>
        <v>ENSG00000175324</v>
      </c>
      <c r="M1002" s="12" t="s">
        <v>18186</v>
      </c>
      <c r="N1002" s="12" t="s">
        <v>18187</v>
      </c>
    </row>
    <row r="1003" spans="1:14">
      <c r="A1003" s="12" t="s">
        <v>10208</v>
      </c>
      <c r="B1003" s="8">
        <v>69597.8854633437</v>
      </c>
      <c r="C1003" s="12">
        <v>159743.329431847</v>
      </c>
      <c r="D1003" s="8">
        <v>-1.1986403087067701</v>
      </c>
      <c r="E1003" s="12">
        <v>6.9904759624148704E-3</v>
      </c>
      <c r="F1003" s="8" t="s">
        <v>8281</v>
      </c>
      <c r="G1003" s="12" t="s">
        <v>8282</v>
      </c>
      <c r="H1003" s="12">
        <v>1</v>
      </c>
      <c r="I1003" s="13" t="str">
        <f>HYPERLINK("http://www.ncbi.nlm.nih.gov/gene/3336", "3336")</f>
        <v>3336</v>
      </c>
      <c r="J1003" s="13" t="str">
        <f>HYPERLINK("http://www.ncbi.nlm.nih.gov/nuccore/NM_002157", "NM_002157")</f>
        <v>NM_002157</v>
      </c>
      <c r="K1003" s="12" t="s">
        <v>8283</v>
      </c>
      <c r="L1003" s="13" t="str">
        <f>HYPERLINK("http://asia.ensembl.org/Homo_sapiens/Gene/Summary?g=ENSG00000115541", "ENSG00000115541")</f>
        <v>ENSG00000115541</v>
      </c>
      <c r="M1003" s="12" t="s">
        <v>19593</v>
      </c>
      <c r="N1003" s="12" t="s">
        <v>19594</v>
      </c>
    </row>
    <row r="1004" spans="1:14">
      <c r="A1004" s="12" t="s">
        <v>4559</v>
      </c>
      <c r="B1004" s="8">
        <v>3622.9286328435601</v>
      </c>
      <c r="C1004" s="12">
        <v>8314.9423778155706</v>
      </c>
      <c r="D1004" s="8">
        <v>-1.19854987894836</v>
      </c>
      <c r="E1004" s="12">
        <v>1.9979321416366399E-3</v>
      </c>
      <c r="F1004" s="8" t="s">
        <v>4560</v>
      </c>
      <c r="G1004" s="12" t="s">
        <v>4561</v>
      </c>
      <c r="H1004" s="12">
        <v>1</v>
      </c>
      <c r="I1004" s="13" t="str">
        <f>HYPERLINK("http://www.ncbi.nlm.nih.gov/gene/51550", "51550")</f>
        <v>51550</v>
      </c>
      <c r="J1004" s="13" t="str">
        <f>HYPERLINK("http://www.ncbi.nlm.nih.gov/nuccore/NM_032630", "NM_032630")</f>
        <v>NM_032630</v>
      </c>
      <c r="K1004" s="12" t="s">
        <v>4562</v>
      </c>
      <c r="L1004" s="13" t="str">
        <f>HYPERLINK("http://asia.ensembl.org/Homo_sapiens/Gene/Summary?g=ENSG00000100865", "ENSG00000100865")</f>
        <v>ENSG00000100865</v>
      </c>
      <c r="M1004" s="12" t="s">
        <v>17712</v>
      </c>
      <c r="N1004" s="12" t="s">
        <v>17713</v>
      </c>
    </row>
    <row r="1005" spans="1:14">
      <c r="A1005" s="12" t="s">
        <v>4049</v>
      </c>
      <c r="B1005" s="8">
        <v>186658.95963205499</v>
      </c>
      <c r="C1005" s="12">
        <v>428303.67334066698</v>
      </c>
      <c r="D1005" s="8">
        <v>-1.19822929085615</v>
      </c>
      <c r="E1005" s="12">
        <v>9.3970519071410307E-3</v>
      </c>
      <c r="F1005" s="8" t="s">
        <v>4050</v>
      </c>
      <c r="G1005" s="12" t="s">
        <v>4051</v>
      </c>
      <c r="H1005" s="12">
        <v>1</v>
      </c>
      <c r="I1005" s="13" t="str">
        <f>HYPERLINK("http://www.ncbi.nlm.nih.gov/gene/4282", "4282")</f>
        <v>4282</v>
      </c>
      <c r="J1005" s="13" t="str">
        <f>HYPERLINK("http://www.ncbi.nlm.nih.gov/nuccore/NM_002415", "NM_002415")</f>
        <v>NM_002415</v>
      </c>
      <c r="K1005" s="12" t="s">
        <v>4052</v>
      </c>
      <c r="L1005" s="13" t="str">
        <f>HYPERLINK("http://asia.ensembl.org/Homo_sapiens/Gene/Summary?g=ENSG00000240972", "ENSG00000240972")</f>
        <v>ENSG00000240972</v>
      </c>
      <c r="M1005" s="12" t="s">
        <v>17525</v>
      </c>
      <c r="N1005" s="12" t="s">
        <v>4053</v>
      </c>
    </row>
    <row r="1006" spans="1:14">
      <c r="A1006" s="12" t="s">
        <v>431</v>
      </c>
      <c r="B1006" s="8">
        <v>254.735288851256</v>
      </c>
      <c r="C1006" s="12">
        <v>584.463486767527</v>
      </c>
      <c r="D1006" s="8">
        <v>-1.19811406586779</v>
      </c>
      <c r="E1006" s="12">
        <v>7.6357510343920297E-3</v>
      </c>
      <c r="F1006" s="8" t="s">
        <v>432</v>
      </c>
      <c r="G1006" s="12" t="s">
        <v>433</v>
      </c>
      <c r="H1006" s="12">
        <v>1</v>
      </c>
      <c r="I1006" s="13" t="str">
        <f>HYPERLINK("http://www.ncbi.nlm.nih.gov/gene/23452", "23452")</f>
        <v>23452</v>
      </c>
      <c r="J1006" s="13" t="str">
        <f>HYPERLINK("http://www.ncbi.nlm.nih.gov/nuccore/NM_012098", "NM_012098")</f>
        <v>NM_012098</v>
      </c>
      <c r="K1006" s="12" t="s">
        <v>434</v>
      </c>
      <c r="L1006" s="13" t="str">
        <f>HYPERLINK("http://asia.ensembl.org/Homo_sapiens/Gene/Summary?g=ENSG00000136859", "ENSG00000136859")</f>
        <v>ENSG00000136859</v>
      </c>
      <c r="M1006" s="12" t="s">
        <v>16330</v>
      </c>
      <c r="N1006" s="12" t="s">
        <v>16331</v>
      </c>
    </row>
    <row r="1007" spans="1:14">
      <c r="A1007" s="12" t="s">
        <v>7576</v>
      </c>
      <c r="B1007" s="8">
        <v>53.618477949512197</v>
      </c>
      <c r="C1007" s="12">
        <v>122.969720638547</v>
      </c>
      <c r="D1007" s="8">
        <v>-1.19750094661494</v>
      </c>
      <c r="E1007" s="12">
        <v>3.0169511965872199E-3</v>
      </c>
      <c r="F1007" s="8" t="s">
        <v>7577</v>
      </c>
      <c r="G1007" s="12" t="s">
        <v>7578</v>
      </c>
      <c r="H1007" s="12">
        <v>1</v>
      </c>
      <c r="I1007" s="13" t="str">
        <f>HYPERLINK("http://www.ncbi.nlm.nih.gov/gene/343990", "343990")</f>
        <v>343990</v>
      </c>
      <c r="J1007" s="13" t="str">
        <f>HYPERLINK("http://www.ncbi.nlm.nih.gov/nuccore/NM_207362", "NM_207362")</f>
        <v>NM_207362</v>
      </c>
      <c r="K1007" s="12" t="s">
        <v>7579</v>
      </c>
      <c r="L1007" s="13" t="str">
        <f>HYPERLINK("http://asia.ensembl.org/Homo_sapiens/Gene/Summary?g=ENSG00000196872", "ENSG00000196872")</f>
        <v>ENSG00000196872</v>
      </c>
      <c r="M1007" s="12" t="s">
        <v>18577</v>
      </c>
      <c r="N1007" s="12" t="s">
        <v>18578</v>
      </c>
    </row>
    <row r="1008" spans="1:14">
      <c r="A1008" s="12" t="s">
        <v>9907</v>
      </c>
      <c r="B1008" s="8">
        <v>84358.425708266295</v>
      </c>
      <c r="C1008" s="12">
        <v>193439.819498978</v>
      </c>
      <c r="D1008" s="8">
        <v>-1.19728072649455</v>
      </c>
      <c r="E1008" s="12">
        <v>1.05944359613558E-2</v>
      </c>
      <c r="F1008" s="8" t="s">
        <v>7497</v>
      </c>
      <c r="G1008" s="12" t="s">
        <v>19407</v>
      </c>
      <c r="H1008" s="12">
        <v>1</v>
      </c>
      <c r="I1008" s="13" t="str">
        <f>HYPERLINK("http://www.ncbi.nlm.nih.gov/gene/517", "517")</f>
        <v>517</v>
      </c>
      <c r="J1008" s="12" t="s">
        <v>19408</v>
      </c>
      <c r="K1008" s="12" t="s">
        <v>19409</v>
      </c>
      <c r="L1008" s="13" t="str">
        <f>HYPERLINK("http://asia.ensembl.org/Homo_sapiens/Gene/Summary?g=ENSG00000135390", "ENSG00000135390")</f>
        <v>ENSG00000135390</v>
      </c>
      <c r="M1008" s="12" t="s">
        <v>19410</v>
      </c>
      <c r="N1008" s="12" t="s">
        <v>19411</v>
      </c>
    </row>
    <row r="1009" spans="1:14">
      <c r="A1009" s="12" t="s">
        <v>2315</v>
      </c>
      <c r="B1009" s="8">
        <v>258.83063863707298</v>
      </c>
      <c r="C1009" s="12">
        <v>593.39517501379999</v>
      </c>
      <c r="D1009" s="8">
        <v>-1.1969847920804899</v>
      </c>
      <c r="E1009" s="12">
        <v>4.1225545151302402E-3</v>
      </c>
      <c r="F1009" s="8" t="s">
        <v>2316</v>
      </c>
      <c r="G1009" s="12" t="s">
        <v>2317</v>
      </c>
      <c r="H1009" s="12">
        <v>1</v>
      </c>
      <c r="I1009" s="13" t="str">
        <f>HYPERLINK("http://www.ncbi.nlm.nih.gov/gene/128229", "128229")</f>
        <v>128229</v>
      </c>
      <c r="J1009" s="13" t="str">
        <f>HYPERLINK("http://www.ncbi.nlm.nih.gov/nuccore/NM_144627", "NM_144627")</f>
        <v>NM_144627</v>
      </c>
      <c r="K1009" s="12" t="s">
        <v>2318</v>
      </c>
      <c r="L1009" s="13" t="str">
        <f>HYPERLINK("http://asia.ensembl.org/Homo_sapiens/Gene/Summary?g=ENSG00000163467", "ENSG00000163467")</f>
        <v>ENSG00000163467</v>
      </c>
      <c r="M1009" s="12" t="s">
        <v>16970</v>
      </c>
      <c r="N1009" s="12" t="s">
        <v>16971</v>
      </c>
    </row>
    <row r="1010" spans="1:14">
      <c r="A1010" s="12" t="s">
        <v>6545</v>
      </c>
      <c r="B1010" s="8">
        <v>13161.375382734701</v>
      </c>
      <c r="C1010" s="12">
        <v>30165.9277709825</v>
      </c>
      <c r="D1010" s="8">
        <v>-1.1966096933210899</v>
      </c>
      <c r="E1010" s="12">
        <v>3.0729380251897699E-3</v>
      </c>
      <c r="F1010" s="8" t="s">
        <v>6546</v>
      </c>
      <c r="G1010" s="12" t="s">
        <v>6547</v>
      </c>
      <c r="H1010" s="12">
        <v>1</v>
      </c>
      <c r="I1010" s="13" t="str">
        <f>HYPERLINK("http://www.ncbi.nlm.nih.gov/gene/10245", "10245")</f>
        <v>10245</v>
      </c>
      <c r="J1010" s="12" t="s">
        <v>18204</v>
      </c>
      <c r="K1010" s="12" t="s">
        <v>18205</v>
      </c>
      <c r="L1010" s="13" t="str">
        <f>HYPERLINK("http://asia.ensembl.org/Homo_sapiens/Gene/Summary?g=ENSG00000126768", "ENSG00000126768")</f>
        <v>ENSG00000126768</v>
      </c>
      <c r="M1010" s="12" t="s">
        <v>18206</v>
      </c>
      <c r="N1010" s="12" t="s">
        <v>18207</v>
      </c>
    </row>
    <row r="1011" spans="1:14">
      <c r="A1011" s="12" t="s">
        <v>1152</v>
      </c>
      <c r="B1011" s="8">
        <v>18164.411512956201</v>
      </c>
      <c r="C1011" s="12">
        <v>41628.278133416999</v>
      </c>
      <c r="D1011" s="8">
        <v>-1.19644925929255</v>
      </c>
      <c r="E1011" s="12">
        <v>3.2681103040843799E-3</v>
      </c>
      <c r="F1011" s="8" t="s">
        <v>1153</v>
      </c>
      <c r="G1011" s="12" t="s">
        <v>1154</v>
      </c>
      <c r="H1011" s="12">
        <v>1</v>
      </c>
      <c r="I1011" s="13" t="str">
        <f>HYPERLINK("http://www.ncbi.nlm.nih.gov/gene/29093", "29093")</f>
        <v>29093</v>
      </c>
      <c r="J1011" s="12" t="s">
        <v>16529</v>
      </c>
      <c r="K1011" s="12" t="s">
        <v>16530</v>
      </c>
      <c r="L1011" s="13" t="str">
        <f>HYPERLINK("http://asia.ensembl.org/Homo_sapiens/Gene/Summary?g=ENSG00000082515", "ENSG00000082515")</f>
        <v>ENSG00000082515</v>
      </c>
      <c r="M1011" s="12" t="s">
        <v>16531</v>
      </c>
      <c r="N1011" s="12" t="s">
        <v>16532</v>
      </c>
    </row>
    <row r="1012" spans="1:14">
      <c r="A1012" s="12" t="s">
        <v>3759</v>
      </c>
      <c r="B1012" s="8">
        <v>18528.6402925451</v>
      </c>
      <c r="C1012" s="12">
        <v>42462.452412010498</v>
      </c>
      <c r="D1012" s="8">
        <v>-1.1964306818830699</v>
      </c>
      <c r="E1012" s="12">
        <v>3.8822451928167698E-3</v>
      </c>
      <c r="F1012" s="8" t="s">
        <v>3760</v>
      </c>
      <c r="G1012" s="12" t="s">
        <v>3761</v>
      </c>
      <c r="H1012" s="12">
        <v>1</v>
      </c>
      <c r="I1012" s="13" t="str">
        <f>HYPERLINK("http://www.ncbi.nlm.nih.gov/gene/84268", "84268")</f>
        <v>84268</v>
      </c>
      <c r="J1012" s="12" t="s">
        <v>17411</v>
      </c>
      <c r="K1012" s="12" t="s">
        <v>17412</v>
      </c>
      <c r="L1012" s="13" t="str">
        <f>HYPERLINK("http://asia.ensembl.org/Homo_sapiens/Gene/Summary?g=ENSG00000129197", "ENSG00000129197")</f>
        <v>ENSG00000129197</v>
      </c>
      <c r="M1012" s="12" t="s">
        <v>17413</v>
      </c>
      <c r="N1012" s="12" t="s">
        <v>17414</v>
      </c>
    </row>
    <row r="1013" spans="1:14">
      <c r="A1013" s="12" t="s">
        <v>8891</v>
      </c>
      <c r="B1013" s="8">
        <v>370.79658342878298</v>
      </c>
      <c r="C1013" s="12">
        <v>849.55669399084604</v>
      </c>
      <c r="D1013" s="8">
        <v>-1.19608227604784</v>
      </c>
      <c r="E1013" s="12">
        <v>3.38554490183099E-3</v>
      </c>
      <c r="F1013" s="8" t="s">
        <v>6479</v>
      </c>
      <c r="G1013" s="12" t="s">
        <v>6480</v>
      </c>
      <c r="H1013" s="12">
        <v>1</v>
      </c>
      <c r="I1013" s="13" t="str">
        <f>HYPERLINK("http://www.ncbi.nlm.nih.gov/gene/100", "100")</f>
        <v>100</v>
      </c>
      <c r="J1013" s="13" t="str">
        <f>HYPERLINK("http://www.ncbi.nlm.nih.gov/nuccore/NM_000022", "NM_000022")</f>
        <v>NM_000022</v>
      </c>
      <c r="K1013" s="12" t="s">
        <v>6481</v>
      </c>
      <c r="L1013" s="13" t="str">
        <f>HYPERLINK("http://asia.ensembl.org/Homo_sapiens/Gene/Summary?g=ENSG00000196839", "ENSG00000196839")</f>
        <v>ENSG00000196839</v>
      </c>
      <c r="M1013" s="12" t="s">
        <v>18998</v>
      </c>
      <c r="N1013" s="12" t="s">
        <v>18999</v>
      </c>
    </row>
    <row r="1014" spans="1:14">
      <c r="A1014" s="12" t="s">
        <v>8543</v>
      </c>
      <c r="B1014" s="8">
        <v>721.75085313670604</v>
      </c>
      <c r="C1014" s="12">
        <v>1652.97678109254</v>
      </c>
      <c r="D1014" s="8">
        <v>-1.1954936467396999</v>
      </c>
      <c r="E1014" s="12">
        <v>3.9863486565397703E-3</v>
      </c>
      <c r="F1014" s="8" t="s">
        <v>8544</v>
      </c>
      <c r="G1014" s="12" t="s">
        <v>8545</v>
      </c>
      <c r="H1014" s="12">
        <v>1</v>
      </c>
      <c r="I1014" s="13" t="str">
        <f>HYPERLINK("http://www.ncbi.nlm.nih.gov/gene/79228", "79228")</f>
        <v>79228</v>
      </c>
      <c r="J1014" s="12" t="s">
        <v>18896</v>
      </c>
      <c r="K1014" s="12" t="s">
        <v>18897</v>
      </c>
      <c r="L1014" s="13" t="str">
        <f>HYPERLINK("http://asia.ensembl.org/Homo_sapiens/Gene/Summary?g=ENSG00000131652", "ENSG00000131652")</f>
        <v>ENSG00000131652</v>
      </c>
      <c r="M1014" s="12" t="s">
        <v>18898</v>
      </c>
      <c r="N1014" s="12" t="s">
        <v>18899</v>
      </c>
    </row>
    <row r="1015" spans="1:14">
      <c r="A1015" s="12" t="s">
        <v>10209</v>
      </c>
      <c r="B1015" s="8">
        <v>64539.305886307797</v>
      </c>
      <c r="C1015" s="12">
        <v>147697.35938759201</v>
      </c>
      <c r="D1015" s="8">
        <v>-1.1943940660774801</v>
      </c>
      <c r="E1015" s="12">
        <v>8.7562153773958502E-3</v>
      </c>
      <c r="F1015" s="8" t="s">
        <v>10210</v>
      </c>
      <c r="G1015" s="12" t="s">
        <v>10211</v>
      </c>
      <c r="H1015" s="12">
        <v>1</v>
      </c>
      <c r="I1015" s="13" t="str">
        <f>HYPERLINK("http://www.ncbi.nlm.nih.gov/gene/4830", "4830")</f>
        <v>4830</v>
      </c>
      <c r="J1015" s="12" t="s">
        <v>19595</v>
      </c>
      <c r="K1015" s="12" t="s">
        <v>19596</v>
      </c>
      <c r="L1015" s="13" t="str">
        <f>HYPERLINK("http://asia.ensembl.org/Homo_sapiens/Gene/Summary?g=ENSG00000239672", "ENSG00000239672")</f>
        <v>ENSG00000239672</v>
      </c>
      <c r="M1015" s="12" t="s">
        <v>19597</v>
      </c>
      <c r="N1015" s="12" t="s">
        <v>19598</v>
      </c>
    </row>
    <row r="1016" spans="1:14">
      <c r="A1016" s="12" t="s">
        <v>5731</v>
      </c>
      <c r="B1016" s="8">
        <v>51173.323276708703</v>
      </c>
      <c r="C1016" s="12">
        <v>117051.16756942301</v>
      </c>
      <c r="D1016" s="8">
        <v>-1.1936754928027</v>
      </c>
      <c r="E1016" s="12">
        <v>6.5664763018759096E-3</v>
      </c>
      <c r="F1016" s="8" t="s">
        <v>5732</v>
      </c>
      <c r="G1016" s="12" t="s">
        <v>5733</v>
      </c>
      <c r="H1016" s="12">
        <v>1</v>
      </c>
      <c r="I1016" s="13" t="str">
        <f>HYPERLINK("http://www.ncbi.nlm.nih.gov/gene/11315", "11315")</f>
        <v>11315</v>
      </c>
      <c r="J1016" s="12" t="s">
        <v>17955</v>
      </c>
      <c r="K1016" s="12" t="s">
        <v>17956</v>
      </c>
      <c r="L1016" s="13" t="str">
        <f>HYPERLINK("http://asia.ensembl.org/Homo_sapiens/Gene/Summary?g=ENSG00000116288", "ENSG00000116288")</f>
        <v>ENSG00000116288</v>
      </c>
      <c r="M1016" s="12" t="s">
        <v>17957</v>
      </c>
      <c r="N1016" s="12" t="s">
        <v>17958</v>
      </c>
    </row>
    <row r="1017" spans="1:14">
      <c r="A1017" s="12" t="s">
        <v>11336</v>
      </c>
      <c r="B1017" s="8">
        <v>7108.6475469147299</v>
      </c>
      <c r="C1017" s="12">
        <v>16254.3619607732</v>
      </c>
      <c r="D1017" s="8">
        <v>-1.1931799147734801</v>
      </c>
      <c r="E1017" s="12">
        <v>2.4886608971495302E-3</v>
      </c>
      <c r="F1017" s="8" t="s">
        <v>11337</v>
      </c>
      <c r="G1017" s="12" t="s">
        <v>11338</v>
      </c>
      <c r="H1017" s="12">
        <v>4</v>
      </c>
      <c r="I1017" s="12" t="s">
        <v>11339</v>
      </c>
      <c r="J1017" s="12" t="s">
        <v>20075</v>
      </c>
      <c r="K1017" s="12" t="s">
        <v>20076</v>
      </c>
      <c r="L1017" s="12" t="s">
        <v>11340</v>
      </c>
      <c r="M1017" s="12" t="s">
        <v>20077</v>
      </c>
      <c r="N1017" s="12" t="s">
        <v>20078</v>
      </c>
    </row>
    <row r="1018" spans="1:14">
      <c r="A1018" s="12" t="s">
        <v>11130</v>
      </c>
      <c r="B1018" s="8">
        <v>83960.166394932894</v>
      </c>
      <c r="C1018" s="12">
        <v>191918.06069319</v>
      </c>
      <c r="D1018" s="8">
        <v>-1.1927135536491</v>
      </c>
      <c r="E1018" s="12">
        <v>5.6548824323056704E-3</v>
      </c>
      <c r="F1018" s="8" t="s">
        <v>5002</v>
      </c>
      <c r="G1018" s="12" t="s">
        <v>5003</v>
      </c>
      <c r="H1018" s="12">
        <v>1</v>
      </c>
      <c r="I1018" s="13" t="str">
        <f>HYPERLINK("http://www.ncbi.nlm.nih.gov/gene/100188893", "100188893")</f>
        <v>100188893</v>
      </c>
      <c r="J1018" s="13" t="str">
        <f>HYPERLINK("http://www.ncbi.nlm.nih.gov/nuccore/NM_001134493", "NM_001134493")</f>
        <v>NM_001134493</v>
      </c>
      <c r="K1018" s="12" t="s">
        <v>5004</v>
      </c>
      <c r="L1018" s="13" t="str">
        <f>HYPERLINK("http://asia.ensembl.org/Homo_sapiens/Gene/Summary?g=ENSG00000214736", "ENSG00000214736")</f>
        <v>ENSG00000214736</v>
      </c>
      <c r="M1018" s="12" t="s">
        <v>19988</v>
      </c>
      <c r="N1018" s="12" t="s">
        <v>19989</v>
      </c>
    </row>
    <row r="1019" spans="1:14">
      <c r="A1019" s="12" t="s">
        <v>2747</v>
      </c>
      <c r="B1019" s="8">
        <v>715.01410192194805</v>
      </c>
      <c r="C1019" s="12">
        <v>1634.0828340820401</v>
      </c>
      <c r="D1019" s="8">
        <v>-1.1924375167373999</v>
      </c>
      <c r="E1019" s="12">
        <v>1.03471553685243E-3</v>
      </c>
      <c r="F1019" s="8" t="s">
        <v>2748</v>
      </c>
      <c r="G1019" s="12" t="s">
        <v>17101</v>
      </c>
      <c r="H1019" s="12">
        <v>1</v>
      </c>
      <c r="I1019" s="13" t="str">
        <f>HYPERLINK("http://www.ncbi.nlm.nih.gov/gene/3017", "3017")</f>
        <v>3017</v>
      </c>
      <c r="J1019" s="13" t="str">
        <f>HYPERLINK("http://www.ncbi.nlm.nih.gov/nuccore/NM_138720", "NM_138720")</f>
        <v>NM_138720</v>
      </c>
      <c r="K1019" s="12" t="s">
        <v>2749</v>
      </c>
      <c r="L1019" s="13" t="str">
        <f>HYPERLINK("http://asia.ensembl.org/Homo_sapiens/Gene/Summary?g=ENSG00000158373", "ENSG00000158373")</f>
        <v>ENSG00000158373</v>
      </c>
      <c r="M1019" s="12" t="s">
        <v>17102</v>
      </c>
      <c r="N1019" s="12" t="s">
        <v>17103</v>
      </c>
    </row>
    <row r="1020" spans="1:14">
      <c r="A1020" s="12" t="s">
        <v>9257</v>
      </c>
      <c r="B1020" s="8">
        <v>113947.478026955</v>
      </c>
      <c r="C1020" s="12">
        <v>260381.75615371301</v>
      </c>
      <c r="D1020" s="8">
        <v>-1.19225937439397</v>
      </c>
      <c r="E1020" s="12">
        <v>6.7231173219854503E-3</v>
      </c>
      <c r="F1020" s="8" t="s">
        <v>9258</v>
      </c>
      <c r="G1020" s="12" t="s">
        <v>9259</v>
      </c>
      <c r="H1020" s="12">
        <v>1</v>
      </c>
      <c r="I1020" s="13" t="str">
        <f>HYPERLINK("http://www.ncbi.nlm.nih.gov/gene/2237", "2237")</f>
        <v>2237</v>
      </c>
      <c r="J1020" s="13" t="str">
        <f>HYPERLINK("http://www.ncbi.nlm.nih.gov/nuccore/NM_004111", "NM_004111")</f>
        <v>NM_004111</v>
      </c>
      <c r="K1020" s="12" t="s">
        <v>9260</v>
      </c>
      <c r="L1020" s="13" t="str">
        <f>HYPERLINK("http://asia.ensembl.org/Homo_sapiens/Gene/Summary?g=ENSG00000168496", "ENSG00000168496")</f>
        <v>ENSG00000168496</v>
      </c>
      <c r="M1020" s="12" t="s">
        <v>19111</v>
      </c>
      <c r="N1020" s="12" t="s">
        <v>19112</v>
      </c>
    </row>
    <row r="1021" spans="1:14">
      <c r="A1021" s="12" t="s">
        <v>8431</v>
      </c>
      <c r="B1021" s="8">
        <v>13962.028995513299</v>
      </c>
      <c r="C1021" s="12">
        <v>31892.699354127901</v>
      </c>
      <c r="D1021" s="8">
        <v>-1.1917175977947201</v>
      </c>
      <c r="E1021" s="12">
        <v>1.8256123034931401E-2</v>
      </c>
      <c r="F1021" s="8" t="s">
        <v>6412</v>
      </c>
      <c r="G1021" s="12" t="s">
        <v>286</v>
      </c>
      <c r="H1021" s="12">
        <v>1</v>
      </c>
      <c r="I1021" s="13" t="str">
        <f>HYPERLINK("http://www.ncbi.nlm.nih.gov/gene/4709", "4709")</f>
        <v>4709</v>
      </c>
      <c r="J1021" s="12" t="s">
        <v>18158</v>
      </c>
      <c r="K1021" s="12" t="s">
        <v>18159</v>
      </c>
      <c r="L1021" s="13" t="str">
        <f>HYPERLINK("http://asia.ensembl.org/Homo_sapiens/Gene/Summary?g=ENSG00000119013", "ENSG00000119013")</f>
        <v>ENSG00000119013</v>
      </c>
      <c r="M1021" s="12" t="s">
        <v>18160</v>
      </c>
      <c r="N1021" s="12" t="s">
        <v>18161</v>
      </c>
    </row>
    <row r="1022" spans="1:14">
      <c r="A1022" s="12" t="s">
        <v>11065</v>
      </c>
      <c r="B1022" s="8">
        <v>340.225770913953</v>
      </c>
      <c r="C1022" s="12">
        <v>777.00451396447704</v>
      </c>
      <c r="D1022" s="8">
        <v>-1.1914305556626901</v>
      </c>
      <c r="E1022" s="12">
        <v>7.1342821095385096E-4</v>
      </c>
      <c r="F1022" s="8" t="s">
        <v>10003</v>
      </c>
      <c r="G1022" s="12" t="s">
        <v>10004</v>
      </c>
      <c r="H1022" s="12">
        <v>1</v>
      </c>
      <c r="I1022" s="13" t="str">
        <f>HYPERLINK("http://www.ncbi.nlm.nih.gov/gene/54741", "54741")</f>
        <v>54741</v>
      </c>
      <c r="J1022" s="13" t="str">
        <f>HYPERLINK("http://www.ncbi.nlm.nih.gov/nuccore/NM_001198683", "NM_001198683")</f>
        <v>NM_001198683</v>
      </c>
      <c r="K1022" s="12" t="s">
        <v>11066</v>
      </c>
      <c r="L1022" s="13" t="str">
        <f>HYPERLINK("http://asia.ensembl.org/Homo_sapiens/Gene/Summary?g=ENSG00000213625", "ENSG00000213625")</f>
        <v>ENSG00000213625</v>
      </c>
      <c r="M1022" s="12" t="s">
        <v>19951</v>
      </c>
      <c r="N1022" s="12" t="s">
        <v>19952</v>
      </c>
    </row>
    <row r="1023" spans="1:14">
      <c r="A1023" s="12" t="s">
        <v>3773</v>
      </c>
      <c r="B1023" s="8">
        <v>857.44694571305502</v>
      </c>
      <c r="C1023" s="12">
        <v>1957.69644809071</v>
      </c>
      <c r="D1023" s="8">
        <v>-1.1910377714424401</v>
      </c>
      <c r="E1023" s="12">
        <v>4.7910959063147902E-4</v>
      </c>
      <c r="F1023" s="8" t="s">
        <v>3774</v>
      </c>
      <c r="G1023" s="12" t="s">
        <v>3775</v>
      </c>
      <c r="H1023" s="12">
        <v>1</v>
      </c>
      <c r="I1023" s="13" t="str">
        <f>HYPERLINK("http://www.ncbi.nlm.nih.gov/gene/7314", "7314")</f>
        <v>7314</v>
      </c>
      <c r="J1023" s="13" t="str">
        <f>HYPERLINK("http://www.ncbi.nlm.nih.gov/nuccore/NM_018955", "NM_018955")</f>
        <v>NM_018955</v>
      </c>
      <c r="K1023" s="12" t="s">
        <v>3776</v>
      </c>
      <c r="L1023" s="13" t="str">
        <f>HYPERLINK("http://asia.ensembl.org/Homo_sapiens/Gene/Summary?g=ENSG00000170315", "ENSG00000170315")</f>
        <v>ENSG00000170315</v>
      </c>
      <c r="M1023" s="12" t="s">
        <v>17417</v>
      </c>
      <c r="N1023" s="12" t="s">
        <v>17418</v>
      </c>
    </row>
    <row r="1024" spans="1:14">
      <c r="A1024" s="12" t="s">
        <v>4651</v>
      </c>
      <c r="B1024" s="8">
        <v>331.78086890260499</v>
      </c>
      <c r="C1024" s="12">
        <v>757.26190736114097</v>
      </c>
      <c r="D1024" s="8">
        <v>-1.1905616582363601</v>
      </c>
      <c r="E1024" s="12">
        <v>2.0638354314786798E-2</v>
      </c>
      <c r="F1024" s="8" t="s">
        <v>4652</v>
      </c>
      <c r="G1024" s="12" t="s">
        <v>4653</v>
      </c>
      <c r="H1024" s="12">
        <v>1</v>
      </c>
      <c r="I1024" s="13" t="str">
        <f>HYPERLINK("http://www.ncbi.nlm.nih.gov/gene/79012", "79012")</f>
        <v>79012</v>
      </c>
      <c r="J1024" s="13" t="str">
        <f>HYPERLINK("http://www.ncbi.nlm.nih.gov/nuccore/NM_024046", "NM_024046")</f>
        <v>NM_024046</v>
      </c>
      <c r="K1024" s="12" t="s">
        <v>4654</v>
      </c>
      <c r="L1024" s="13" t="str">
        <f>HYPERLINK("http://asia.ensembl.org/Homo_sapiens/Gene/Summary?g=ENSG00000164076", "ENSG00000164076")</f>
        <v>ENSG00000164076</v>
      </c>
      <c r="M1024" s="12" t="s">
        <v>17725</v>
      </c>
      <c r="N1024" s="12" t="s">
        <v>17726</v>
      </c>
    </row>
    <row r="1025" spans="1:14">
      <c r="A1025" s="12" t="s">
        <v>1853</v>
      </c>
      <c r="B1025" s="8">
        <v>59969.353607226098</v>
      </c>
      <c r="C1025" s="12">
        <v>136860.48218375599</v>
      </c>
      <c r="D1025" s="8">
        <v>-1.1904086077667499</v>
      </c>
      <c r="E1025" s="12">
        <v>1.04627820818069E-2</v>
      </c>
      <c r="F1025" s="8" t="s">
        <v>1854</v>
      </c>
      <c r="G1025" s="12" t="s">
        <v>1855</v>
      </c>
      <c r="H1025" s="12">
        <v>1</v>
      </c>
      <c r="I1025" s="13" t="str">
        <f>HYPERLINK("http://www.ncbi.nlm.nih.gov/gene/84300", "84300")</f>
        <v>84300</v>
      </c>
      <c r="J1025" s="13" t="str">
        <f>HYPERLINK("http://www.ncbi.nlm.nih.gov/nuccore/NM_032340", "NM_032340")</f>
        <v>NM_032340</v>
      </c>
      <c r="K1025" s="12" t="s">
        <v>1856</v>
      </c>
      <c r="L1025" s="13" t="str">
        <f>HYPERLINK("http://asia.ensembl.org/Homo_sapiens/Gene/Summary?g=ENSG00000137288", "ENSG00000137288")</f>
        <v>ENSG00000137288</v>
      </c>
      <c r="M1025" s="12" t="s">
        <v>16807</v>
      </c>
      <c r="N1025" s="12" t="s">
        <v>16808</v>
      </c>
    </row>
    <row r="1026" spans="1:14">
      <c r="A1026" s="12" t="s">
        <v>9964</v>
      </c>
      <c r="B1026" s="8">
        <v>4100.5240604789096</v>
      </c>
      <c r="C1026" s="12">
        <v>9356.4103213635899</v>
      </c>
      <c r="D1026" s="8">
        <v>-1.1901468291588899</v>
      </c>
      <c r="E1026" s="12">
        <v>4.4549574894734703E-3</v>
      </c>
      <c r="F1026" s="8" t="s">
        <v>4118</v>
      </c>
      <c r="G1026" s="12" t="s">
        <v>4119</v>
      </c>
      <c r="H1026" s="12">
        <v>1</v>
      </c>
      <c r="I1026" s="13" t="str">
        <f>HYPERLINK("http://www.ncbi.nlm.nih.gov/gene/1029", "1029")</f>
        <v>1029</v>
      </c>
      <c r="J1026" s="12" t="s">
        <v>19477</v>
      </c>
      <c r="K1026" s="12" t="s">
        <v>19478</v>
      </c>
      <c r="L1026" s="13" t="str">
        <f>HYPERLINK("http://asia.ensembl.org/Homo_sapiens/Gene/Summary?g=ENSG00000147889", "ENSG00000147889")</f>
        <v>ENSG00000147889</v>
      </c>
      <c r="M1026" s="12" t="s">
        <v>19479</v>
      </c>
      <c r="N1026" s="12" t="s">
        <v>19480</v>
      </c>
    </row>
    <row r="1027" spans="1:14">
      <c r="A1027" s="12" t="s">
        <v>7946</v>
      </c>
      <c r="B1027" s="8">
        <v>19412.173237298401</v>
      </c>
      <c r="C1027" s="12">
        <v>44289.480088341603</v>
      </c>
      <c r="D1027" s="8">
        <v>-1.19000242149807</v>
      </c>
      <c r="E1027" s="12">
        <v>1.75361080505249E-4</v>
      </c>
      <c r="F1027" s="8" t="s">
        <v>5771</v>
      </c>
      <c r="G1027" s="12" t="s">
        <v>5772</v>
      </c>
      <c r="H1027" s="12">
        <v>1</v>
      </c>
      <c r="I1027" s="13" t="str">
        <f>HYPERLINK("http://www.ncbi.nlm.nih.gov/gene/9167", "9167")</f>
        <v>9167</v>
      </c>
      <c r="J1027" s="13" t="str">
        <f>HYPERLINK("http://www.ncbi.nlm.nih.gov/nuccore/NM_004718", "NM_004718")</f>
        <v>NM_004718</v>
      </c>
      <c r="K1027" s="12" t="s">
        <v>5773</v>
      </c>
      <c r="L1027" s="13" t="str">
        <f>HYPERLINK("http://asia.ensembl.org/Homo_sapiens/Gene/Summary?g=ENSG00000115944", "ENSG00000115944")</f>
        <v>ENSG00000115944</v>
      </c>
      <c r="M1027" s="12" t="s">
        <v>17969</v>
      </c>
      <c r="N1027" s="12" t="s">
        <v>17970</v>
      </c>
    </row>
    <row r="1028" spans="1:14">
      <c r="A1028" s="12" t="s">
        <v>10832</v>
      </c>
      <c r="B1028" s="8">
        <v>46139.711654948303</v>
      </c>
      <c r="C1028" s="12">
        <v>105265.516457255</v>
      </c>
      <c r="D1028" s="8">
        <v>-1.18995201340512</v>
      </c>
      <c r="E1028" s="12">
        <v>1.1653286825297799E-2</v>
      </c>
      <c r="F1028" s="8" t="s">
        <v>10833</v>
      </c>
      <c r="G1028" s="12" t="s">
        <v>19877</v>
      </c>
      <c r="H1028" s="12">
        <v>4</v>
      </c>
      <c r="I1028" s="12" t="s">
        <v>10834</v>
      </c>
      <c r="J1028" s="12" t="s">
        <v>19878</v>
      </c>
      <c r="K1028" s="12" t="s">
        <v>19879</v>
      </c>
      <c r="L1028" s="13" t="str">
        <f>HYPERLINK("http://asia.ensembl.org/Homo_sapiens/Gene/Summary?g=ENSG00000124172", "ENSG00000124172")</f>
        <v>ENSG00000124172</v>
      </c>
      <c r="M1028" s="12" t="s">
        <v>19611</v>
      </c>
      <c r="N1028" s="12" t="s">
        <v>19612</v>
      </c>
    </row>
    <row r="1029" spans="1:14">
      <c r="A1029" s="12" t="s">
        <v>10731</v>
      </c>
      <c r="B1029" s="8">
        <v>82.440908584895496</v>
      </c>
      <c r="C1029" s="12">
        <v>188.074297126429</v>
      </c>
      <c r="D1029" s="8">
        <v>-1.18987038863459</v>
      </c>
      <c r="E1029" s="12">
        <v>6.9876017029769401E-3</v>
      </c>
      <c r="F1029" s="8" t="s">
        <v>4910</v>
      </c>
      <c r="G1029" s="12" t="s">
        <v>20227</v>
      </c>
      <c r="H1029" s="12">
        <v>1</v>
      </c>
      <c r="I1029" s="13" t="str">
        <f>HYPERLINK("http://www.ncbi.nlm.nih.gov/gene/2259", "2259")</f>
        <v>2259</v>
      </c>
      <c r="J1029" s="12" t="s">
        <v>19845</v>
      </c>
      <c r="K1029" s="12" t="s">
        <v>19846</v>
      </c>
      <c r="L1029" s="13" t="str">
        <f>HYPERLINK("http://asia.ensembl.org/Homo_sapiens/Gene/Summary?g=ENSG00000102466", "ENSG00000102466")</f>
        <v>ENSG00000102466</v>
      </c>
      <c r="M1029" s="12" t="s">
        <v>19847</v>
      </c>
      <c r="N1029" s="12" t="s">
        <v>19848</v>
      </c>
    </row>
    <row r="1030" spans="1:14">
      <c r="A1030" s="12" t="s">
        <v>4384</v>
      </c>
      <c r="B1030" s="8">
        <v>3493.1768974829802</v>
      </c>
      <c r="C1030" s="12">
        <v>7966.8818994923504</v>
      </c>
      <c r="D1030" s="8">
        <v>-1.1894754847647899</v>
      </c>
      <c r="E1030" s="12">
        <v>5.0097730868052604E-3</v>
      </c>
      <c r="F1030" s="8" t="s">
        <v>4385</v>
      </c>
      <c r="G1030" s="12" t="s">
        <v>4386</v>
      </c>
      <c r="H1030" s="12">
        <v>1</v>
      </c>
      <c r="I1030" s="13" t="str">
        <f>HYPERLINK("http://www.ncbi.nlm.nih.gov/gene/10016", "10016")</f>
        <v>10016</v>
      </c>
      <c r="J1030" s="12" t="s">
        <v>17674</v>
      </c>
      <c r="K1030" s="12" t="s">
        <v>17675</v>
      </c>
      <c r="L1030" s="13" t="str">
        <f>HYPERLINK("http://asia.ensembl.org/Homo_sapiens/Gene/Summary?g=ENSG00000249915", "ENSG00000249915")</f>
        <v>ENSG00000249915</v>
      </c>
      <c r="M1030" s="12" t="s">
        <v>17676</v>
      </c>
      <c r="N1030" s="12" t="s">
        <v>17677</v>
      </c>
    </row>
    <row r="1031" spans="1:14">
      <c r="A1031" s="12" t="s">
        <v>5595</v>
      </c>
      <c r="B1031" s="8">
        <v>146.63632602578201</v>
      </c>
      <c r="C1031" s="12">
        <v>334.33943417138198</v>
      </c>
      <c r="D1031" s="8">
        <v>-1.18907098113611</v>
      </c>
      <c r="E1031" s="12">
        <v>4.1574089975423296E-3</v>
      </c>
      <c r="F1031" s="8" t="s">
        <v>5596</v>
      </c>
      <c r="G1031" s="12" t="s">
        <v>5597</v>
      </c>
      <c r="H1031" s="12">
        <v>1</v>
      </c>
      <c r="I1031" s="13" t="str">
        <f>HYPERLINK("http://www.ncbi.nlm.nih.gov/gene/399979", "399979")</f>
        <v>399979</v>
      </c>
      <c r="J1031" s="13" t="str">
        <f>HYPERLINK("http://www.ncbi.nlm.nih.gov/nuccore/NM_014758", "NM_014758")</f>
        <v>NM_014758</v>
      </c>
      <c r="K1031" s="12" t="s">
        <v>5598</v>
      </c>
      <c r="L1031" s="13" t="str">
        <f>HYPERLINK("http://asia.ensembl.org/Homo_sapiens/Gene/Summary?g=ENSG00000120451", "ENSG00000120451")</f>
        <v>ENSG00000120451</v>
      </c>
      <c r="M1031" s="12" t="s">
        <v>17916</v>
      </c>
      <c r="N1031" s="12" t="s">
        <v>17917</v>
      </c>
    </row>
    <row r="1032" spans="1:14">
      <c r="A1032" s="12" t="s">
        <v>10253</v>
      </c>
      <c r="B1032" s="8">
        <v>60687.316676130402</v>
      </c>
      <c r="C1032" s="12">
        <v>138366.79802622899</v>
      </c>
      <c r="D1032" s="8">
        <v>-1.1890308632876001</v>
      </c>
      <c r="E1032" s="12">
        <v>2.1184338222653399E-3</v>
      </c>
      <c r="F1032" s="8" t="s">
        <v>10251</v>
      </c>
      <c r="G1032" s="12" t="s">
        <v>10252</v>
      </c>
      <c r="H1032" s="12">
        <v>1</v>
      </c>
      <c r="I1032" s="13" t="str">
        <f>HYPERLINK("http://www.ncbi.nlm.nih.gov/gene/3094", "3094")</f>
        <v>3094</v>
      </c>
      <c r="J1032" s="12" t="s">
        <v>19627</v>
      </c>
      <c r="K1032" s="12" t="s">
        <v>19628</v>
      </c>
      <c r="L1032" s="13" t="str">
        <f>HYPERLINK("http://asia.ensembl.org/Homo_sapiens/Gene/Summary?g=ENSG00000169567", "ENSG00000169567")</f>
        <v>ENSG00000169567</v>
      </c>
      <c r="M1032" s="12" t="s">
        <v>19629</v>
      </c>
      <c r="N1032" s="12" t="s">
        <v>19630</v>
      </c>
    </row>
    <row r="1033" spans="1:14">
      <c r="A1033" s="12" t="s">
        <v>2121</v>
      </c>
      <c r="B1033" s="8">
        <v>6178.9774236844096</v>
      </c>
      <c r="C1033" s="12">
        <v>14084.893692310799</v>
      </c>
      <c r="D1033" s="8">
        <v>-1.1887086674680301</v>
      </c>
      <c r="E1033" s="12">
        <v>7.7259396429244596E-3</v>
      </c>
      <c r="F1033" s="8" t="s">
        <v>2122</v>
      </c>
      <c r="G1033" s="12" t="s">
        <v>2123</v>
      </c>
      <c r="H1033" s="12">
        <v>1</v>
      </c>
      <c r="I1033" s="13" t="str">
        <f>HYPERLINK("http://www.ncbi.nlm.nih.gov/gene/9244", "9244")</f>
        <v>9244</v>
      </c>
      <c r="J1033" s="13" t="str">
        <f>HYPERLINK("http://www.ncbi.nlm.nih.gov/nuccore/NM_004750", "NM_004750")</f>
        <v>NM_004750</v>
      </c>
      <c r="K1033" s="12" t="s">
        <v>2124</v>
      </c>
      <c r="L1033" s="13" t="str">
        <f>HYPERLINK("http://asia.ensembl.org/Homo_sapiens/Gene/Summary?g=ENSG00000006016", "ENSG00000006016")</f>
        <v>ENSG00000006016</v>
      </c>
      <c r="M1033" s="12" t="s">
        <v>16938</v>
      </c>
      <c r="N1033" s="12" t="s">
        <v>16939</v>
      </c>
    </row>
    <row r="1034" spans="1:14">
      <c r="A1034" s="12" t="s">
        <v>3214</v>
      </c>
      <c r="B1034" s="8">
        <v>12533.1374006478</v>
      </c>
      <c r="C1034" s="12">
        <v>28568.568056148099</v>
      </c>
      <c r="D1034" s="8">
        <v>-1.1886811183472801</v>
      </c>
      <c r="E1034" s="12">
        <v>5.7619321506579603E-4</v>
      </c>
      <c r="F1034" s="8" t="s">
        <v>3215</v>
      </c>
      <c r="G1034" s="12" t="s">
        <v>3216</v>
      </c>
      <c r="H1034" s="12">
        <v>1</v>
      </c>
      <c r="I1034" s="13" t="str">
        <f>HYPERLINK("http://www.ncbi.nlm.nih.gov/gene/341", "341")</f>
        <v>341</v>
      </c>
      <c r="J1034" s="13" t="str">
        <f>HYPERLINK("http://www.ncbi.nlm.nih.gov/nuccore/NM_001645", "NM_001645")</f>
        <v>NM_001645</v>
      </c>
      <c r="K1034" s="12" t="s">
        <v>3217</v>
      </c>
      <c r="L1034" s="13" t="str">
        <f>HYPERLINK("http://asia.ensembl.org/Homo_sapiens/Gene/Summary?g=ENSG00000130208", "ENSG00000130208")</f>
        <v>ENSG00000130208</v>
      </c>
      <c r="M1034" s="12" t="s">
        <v>17248</v>
      </c>
      <c r="N1034" s="12" t="s">
        <v>17249</v>
      </c>
    </row>
    <row r="1035" spans="1:14">
      <c r="A1035" s="12" t="s">
        <v>1602</v>
      </c>
      <c r="B1035" s="8">
        <v>49.999999999999901</v>
      </c>
      <c r="C1035" s="12">
        <v>113.932409815056</v>
      </c>
      <c r="D1035" s="8">
        <v>-1.1881782020801499</v>
      </c>
      <c r="E1035" s="12">
        <v>1.6463016069927699E-4</v>
      </c>
      <c r="F1035" s="8" t="s">
        <v>1603</v>
      </c>
      <c r="G1035" s="12" t="s">
        <v>16708</v>
      </c>
      <c r="H1035" s="12">
        <v>1</v>
      </c>
      <c r="I1035" s="13" t="str">
        <f>HYPERLINK("http://www.ncbi.nlm.nih.gov/gene/4653", "4653")</f>
        <v>4653</v>
      </c>
      <c r="J1035" s="13" t="str">
        <f>HYPERLINK("http://www.ncbi.nlm.nih.gov/nuccore/NM_000261", "NM_000261")</f>
        <v>NM_000261</v>
      </c>
      <c r="K1035" s="12" t="s">
        <v>1604</v>
      </c>
      <c r="L1035" s="13" t="str">
        <f>HYPERLINK("http://asia.ensembl.org/Homo_sapiens/Gene/Summary?g=ENSG00000034971", "ENSG00000034971")</f>
        <v>ENSG00000034971</v>
      </c>
      <c r="M1035" s="12" t="s">
        <v>16709</v>
      </c>
      <c r="N1035" s="12" t="s">
        <v>16710</v>
      </c>
    </row>
    <row r="1036" spans="1:14">
      <c r="A1036" s="12" t="s">
        <v>6753</v>
      </c>
      <c r="B1036" s="8">
        <v>6847.0195372812204</v>
      </c>
      <c r="C1036" s="12">
        <v>15594.1425485166</v>
      </c>
      <c r="D1036" s="8">
        <v>-1.18745619347342</v>
      </c>
      <c r="E1036" s="12">
        <v>5.8343961800115304E-3</v>
      </c>
      <c r="F1036" s="8" t="s">
        <v>6754</v>
      </c>
      <c r="G1036" s="12" t="s">
        <v>6755</v>
      </c>
      <c r="H1036" s="12">
        <v>1</v>
      </c>
      <c r="I1036" s="13" t="str">
        <f>HYPERLINK("http://www.ncbi.nlm.nih.gov/gene/25920", "25920")</f>
        <v>25920</v>
      </c>
      <c r="J1036" s="13" t="str">
        <f>HYPERLINK("http://www.ncbi.nlm.nih.gov/nuccore/NM_015456", "NM_015456")</f>
        <v>NM_015456</v>
      </c>
      <c r="K1036" s="12" t="s">
        <v>6756</v>
      </c>
      <c r="L1036" s="13" t="str">
        <f>HYPERLINK("http://asia.ensembl.org/Homo_sapiens/Gene/Summary?g=ENSG00000188986", "ENSG00000188986")</f>
        <v>ENSG00000188986</v>
      </c>
      <c r="M1036" s="12" t="s">
        <v>6757</v>
      </c>
      <c r="N1036" s="12" t="s">
        <v>6758</v>
      </c>
    </row>
    <row r="1037" spans="1:14">
      <c r="A1037" s="12" t="s">
        <v>4097</v>
      </c>
      <c r="B1037" s="8">
        <v>876.60656193143302</v>
      </c>
      <c r="C1037" s="12">
        <v>1996.3767758752099</v>
      </c>
      <c r="D1037" s="8">
        <v>-1.1873826425179901</v>
      </c>
      <c r="E1037" s="12">
        <v>1.0236583335981301E-2</v>
      </c>
      <c r="F1037" s="8" t="s">
        <v>4098</v>
      </c>
      <c r="G1037" s="12" t="s">
        <v>4099</v>
      </c>
      <c r="H1037" s="12">
        <v>1</v>
      </c>
      <c r="I1037" s="13" t="str">
        <f>HYPERLINK("http://www.ncbi.nlm.nih.gov/gene/56935", "56935")</f>
        <v>56935</v>
      </c>
      <c r="J1037" s="13" t="str">
        <f>HYPERLINK("http://www.ncbi.nlm.nih.gov/nuccore/NM_020179", "NM_020179")</f>
        <v>NM_020179</v>
      </c>
      <c r="K1037" s="12" t="s">
        <v>4100</v>
      </c>
      <c r="L1037" s="13" t="str">
        <f>HYPERLINK("http://asia.ensembl.org/Homo_sapiens/Gene/Summary?g=ENSG00000166002", "ENSG00000166002")</f>
        <v>ENSG00000166002</v>
      </c>
      <c r="M1037" s="12" t="s">
        <v>17553</v>
      </c>
      <c r="N1037" s="12" t="s">
        <v>17554</v>
      </c>
    </row>
    <row r="1038" spans="1:14">
      <c r="A1038" s="12" t="s">
        <v>4324</v>
      </c>
      <c r="B1038" s="8">
        <v>83.167274237077507</v>
      </c>
      <c r="C1038" s="12">
        <v>189.390438425816</v>
      </c>
      <c r="D1038" s="8">
        <v>-1.1872756423303801</v>
      </c>
      <c r="E1038" s="12">
        <v>9.3707292475843796E-3</v>
      </c>
      <c r="F1038" s="8" t="s">
        <v>4325</v>
      </c>
      <c r="G1038" s="12" t="s">
        <v>4326</v>
      </c>
      <c r="H1038" s="12">
        <v>1</v>
      </c>
      <c r="I1038" s="13" t="str">
        <f>HYPERLINK("http://www.ncbi.nlm.nih.gov/gene/23567", "23567")</f>
        <v>23567</v>
      </c>
      <c r="J1038" s="13" t="str">
        <f>HYPERLINK("http://www.ncbi.nlm.nih.gov/nuccore/NM_012279", "NM_012279")</f>
        <v>NM_012279</v>
      </c>
      <c r="K1038" s="12" t="s">
        <v>4327</v>
      </c>
      <c r="L1038" s="13" t="str">
        <f>HYPERLINK("http://asia.ensembl.org/Homo_sapiens/Gene/Summary?g=ENSG00000113761", "ENSG00000113761")</f>
        <v>ENSG00000113761</v>
      </c>
      <c r="M1038" s="12" t="s">
        <v>17650</v>
      </c>
      <c r="N1038" s="12" t="s">
        <v>17651</v>
      </c>
    </row>
    <row r="1039" spans="1:14">
      <c r="A1039" s="12" t="s">
        <v>4906</v>
      </c>
      <c r="B1039" s="8">
        <v>56.301038528873796</v>
      </c>
      <c r="C1039" s="12">
        <v>128.18794718193899</v>
      </c>
      <c r="D1039" s="8">
        <v>-1.18702717992207</v>
      </c>
      <c r="E1039" s="12">
        <v>1.5617538209176E-2</v>
      </c>
      <c r="F1039" s="8" t="s">
        <v>4907</v>
      </c>
      <c r="G1039" s="12" t="s">
        <v>4908</v>
      </c>
      <c r="H1039" s="12">
        <v>1</v>
      </c>
      <c r="I1039" s="13" t="str">
        <f>HYPERLINK("http://www.ncbi.nlm.nih.gov/gene/131544", "131544")</f>
        <v>131544</v>
      </c>
      <c r="J1039" s="13" t="str">
        <f>HYPERLINK("http://www.ncbi.nlm.nih.gov/nuccore/NM_153605", "NM_153605")</f>
        <v>NM_153605</v>
      </c>
      <c r="K1039" s="12" t="s">
        <v>4909</v>
      </c>
      <c r="L1039" s="13" t="str">
        <f>HYPERLINK("http://asia.ensembl.org/Homo_sapiens/Gene/Summary?g=ENSG00000080200", "ENSG00000080200")</f>
        <v>ENSG00000080200</v>
      </c>
      <c r="M1039" s="12" t="s">
        <v>17760</v>
      </c>
      <c r="N1039" s="12" t="s">
        <v>17761</v>
      </c>
    </row>
    <row r="1040" spans="1:14">
      <c r="A1040" s="12" t="s">
        <v>1992</v>
      </c>
      <c r="B1040" s="8">
        <v>116.30389312239799</v>
      </c>
      <c r="C1040" s="12">
        <v>264.80056225453097</v>
      </c>
      <c r="D1040" s="8">
        <v>-1.18700679547185</v>
      </c>
      <c r="E1040" s="12">
        <v>3.40587802921688E-2</v>
      </c>
      <c r="F1040" s="8" t="s">
        <v>1993</v>
      </c>
      <c r="G1040" s="12" t="s">
        <v>1994</v>
      </c>
      <c r="H1040" s="12">
        <v>1</v>
      </c>
      <c r="I1040" s="13" t="str">
        <f>HYPERLINK("http://www.ncbi.nlm.nih.gov/gene/11202", "11202")</f>
        <v>11202</v>
      </c>
      <c r="J1040" s="12" t="s">
        <v>16869</v>
      </c>
      <c r="K1040" s="12" t="s">
        <v>16870</v>
      </c>
      <c r="L1040" s="13" t="str">
        <f>HYPERLINK("http://asia.ensembl.org/Homo_sapiens/Gene/Summary?g=ENSG00000129455", "ENSG00000129455")</f>
        <v>ENSG00000129455</v>
      </c>
      <c r="M1040" s="12" t="s">
        <v>16871</v>
      </c>
      <c r="N1040" s="12" t="s">
        <v>16872</v>
      </c>
    </row>
    <row r="1041" spans="1:14">
      <c r="A1041" s="12" t="s">
        <v>4253</v>
      </c>
      <c r="B1041" s="8">
        <v>57589.290645855501</v>
      </c>
      <c r="C1041" s="12">
        <v>131113.127855153</v>
      </c>
      <c r="D1041" s="8">
        <v>-1.18693968741022</v>
      </c>
      <c r="E1041" s="12">
        <v>8.9259176932317292E-3</v>
      </c>
      <c r="F1041" s="8" t="s">
        <v>4254</v>
      </c>
      <c r="G1041" s="12" t="s">
        <v>4255</v>
      </c>
      <c r="H1041" s="12">
        <v>1</v>
      </c>
      <c r="I1041" s="13" t="str">
        <f>HYPERLINK("http://www.ncbi.nlm.nih.gov/gene/1351", "1351")</f>
        <v>1351</v>
      </c>
      <c r="J1041" s="13" t="str">
        <f>HYPERLINK("http://www.ncbi.nlm.nih.gov/nuccore/NM_004074", "NM_004074")</f>
        <v>NM_004074</v>
      </c>
      <c r="K1041" s="12" t="s">
        <v>4256</v>
      </c>
      <c r="L1041" s="13" t="str">
        <f>HYPERLINK("http://asia.ensembl.org/Homo_sapiens/Gene/Summary?g=ENSG00000176340", "ENSG00000176340")</f>
        <v>ENSG00000176340</v>
      </c>
      <c r="M1041" s="12" t="s">
        <v>4257</v>
      </c>
      <c r="N1041" s="12" t="s">
        <v>4258</v>
      </c>
    </row>
    <row r="1042" spans="1:14">
      <c r="A1042" s="12" t="s">
        <v>5886</v>
      </c>
      <c r="B1042" s="8">
        <v>904.31992977223297</v>
      </c>
      <c r="C1042" s="12">
        <v>2057.9799168156001</v>
      </c>
      <c r="D1042" s="8">
        <v>-1.1863237396292801</v>
      </c>
      <c r="E1042" s="12">
        <v>7.2999965899189804E-3</v>
      </c>
      <c r="F1042" s="8" t="s">
        <v>5887</v>
      </c>
      <c r="G1042" s="12" t="s">
        <v>18000</v>
      </c>
      <c r="H1042" s="12">
        <v>1</v>
      </c>
      <c r="I1042" s="13" t="str">
        <f>HYPERLINK("http://www.ncbi.nlm.nih.gov/gene/1734", "1734")</f>
        <v>1734</v>
      </c>
      <c r="J1042" s="12" t="s">
        <v>18001</v>
      </c>
      <c r="K1042" s="12" t="s">
        <v>18002</v>
      </c>
      <c r="L1042" s="13" t="str">
        <f>HYPERLINK("http://asia.ensembl.org/Homo_sapiens/Gene/Summary?g=ENSG00000211448", "ENSG00000211448")</f>
        <v>ENSG00000211448</v>
      </c>
      <c r="M1042" s="12" t="s">
        <v>18003</v>
      </c>
      <c r="N1042" s="12" t="s">
        <v>18004</v>
      </c>
    </row>
    <row r="1043" spans="1:14">
      <c r="A1043" s="12" t="s">
        <v>5194</v>
      </c>
      <c r="B1043" s="8">
        <v>208.40727274502899</v>
      </c>
      <c r="C1043" s="12">
        <v>474.16884671891302</v>
      </c>
      <c r="D1043" s="8">
        <v>-1.18599525576715</v>
      </c>
      <c r="E1043" s="12">
        <v>4.3020603858191897E-2</v>
      </c>
      <c r="F1043" s="8" t="s">
        <v>5195</v>
      </c>
      <c r="G1043" s="12" t="s">
        <v>5196</v>
      </c>
      <c r="H1043" s="12">
        <v>1</v>
      </c>
      <c r="I1043" s="13" t="str">
        <f>HYPERLINK("http://www.ncbi.nlm.nih.gov/gene/51409", "51409")</f>
        <v>51409</v>
      </c>
      <c r="J1043" s="13" t="str">
        <f>HYPERLINK("http://www.ncbi.nlm.nih.gov/nuccore/NM_016173", "NM_016173")</f>
        <v>NM_016173</v>
      </c>
      <c r="K1043" s="12" t="s">
        <v>5197</v>
      </c>
      <c r="L1043" s="13" t="str">
        <f>HYPERLINK("http://asia.ensembl.org/Homo_sapiens/Gene/Summary?g=ENSG00000114735", "ENSG00000114735")</f>
        <v>ENSG00000114735</v>
      </c>
      <c r="M1043" s="12" t="s">
        <v>17822</v>
      </c>
      <c r="N1043" s="12" t="s">
        <v>17823</v>
      </c>
    </row>
    <row r="1044" spans="1:14">
      <c r="A1044" s="12" t="s">
        <v>6664</v>
      </c>
      <c r="B1044" s="8">
        <v>202.235784532661</v>
      </c>
      <c r="C1044" s="12">
        <v>459.99743469947498</v>
      </c>
      <c r="D1044" s="8">
        <v>-1.18558751866722</v>
      </c>
      <c r="E1044" s="12">
        <v>2.64699031101016E-3</v>
      </c>
      <c r="F1044" s="8" t="s">
        <v>6665</v>
      </c>
      <c r="G1044" s="12" t="s">
        <v>6666</v>
      </c>
      <c r="H1044" s="12">
        <v>1</v>
      </c>
      <c r="I1044" s="13" t="str">
        <f>HYPERLINK("http://www.ncbi.nlm.nih.gov/gene/11198", "11198")</f>
        <v>11198</v>
      </c>
      <c r="J1044" s="13" t="str">
        <f>HYPERLINK("http://www.ncbi.nlm.nih.gov/nuccore/NM_007192", "NM_007192")</f>
        <v>NM_007192</v>
      </c>
      <c r="K1044" s="12" t="s">
        <v>6667</v>
      </c>
      <c r="L1044" s="13" t="str">
        <f>HYPERLINK("http://asia.ensembl.org/Homo_sapiens/Gene/Summary?g=ENSG00000092201", "ENSG00000092201")</f>
        <v>ENSG00000092201</v>
      </c>
      <c r="M1044" s="12" t="s">
        <v>18232</v>
      </c>
      <c r="N1044" s="12" t="s">
        <v>18233</v>
      </c>
    </row>
    <row r="1045" spans="1:14">
      <c r="A1045" s="12" t="s">
        <v>622</v>
      </c>
      <c r="B1045" s="8">
        <v>7492.3489801164496</v>
      </c>
      <c r="C1045" s="12">
        <v>17036.8849896551</v>
      </c>
      <c r="D1045" s="8">
        <v>-1.1851715740806801</v>
      </c>
      <c r="E1045" s="12">
        <v>1.1712457725302999E-3</v>
      </c>
      <c r="F1045" s="8" t="s">
        <v>623</v>
      </c>
      <c r="G1045" s="12" t="s">
        <v>624</v>
      </c>
      <c r="H1045" s="12">
        <v>1</v>
      </c>
      <c r="I1045" s="13" t="str">
        <f>HYPERLINK("http://www.ncbi.nlm.nih.gov/gene/51027", "51027")</f>
        <v>51027</v>
      </c>
      <c r="J1045" s="13" t="str">
        <f>HYPERLINK("http://www.ncbi.nlm.nih.gov/nuccore/NM_016074", "NM_016074")</f>
        <v>NM_016074</v>
      </c>
      <c r="K1045" s="12" t="s">
        <v>625</v>
      </c>
      <c r="L1045" s="13" t="str">
        <f>HYPERLINK("http://asia.ensembl.org/Homo_sapiens/Gene/Summary?g=ENSG00000178096", "ENSG00000178096")</f>
        <v>ENSG00000178096</v>
      </c>
      <c r="M1045" s="12" t="s">
        <v>16397</v>
      </c>
      <c r="N1045" s="12" t="s">
        <v>16398</v>
      </c>
    </row>
    <row r="1046" spans="1:14">
      <c r="A1046" s="12" t="s">
        <v>336</v>
      </c>
      <c r="B1046" s="8">
        <v>16909.1932469331</v>
      </c>
      <c r="C1046" s="12">
        <v>38422.7353226208</v>
      </c>
      <c r="D1046" s="8">
        <v>-1.18415239933261</v>
      </c>
      <c r="E1046" s="12">
        <v>3.41338936759748E-3</v>
      </c>
      <c r="F1046" s="8" t="s">
        <v>337</v>
      </c>
      <c r="G1046" s="12" t="s">
        <v>16311</v>
      </c>
      <c r="H1046" s="12">
        <v>1</v>
      </c>
      <c r="I1046" s="13" t="str">
        <f>HYPERLINK("http://www.ncbi.nlm.nih.gov/gene/5050", "5050")</f>
        <v>5050</v>
      </c>
      <c r="J1046" s="12" t="s">
        <v>16312</v>
      </c>
      <c r="K1046" s="12" t="s">
        <v>16313</v>
      </c>
      <c r="L1046" s="13" t="str">
        <f>HYPERLINK("http://asia.ensembl.org/Homo_sapiens/Gene/Summary?g=ENSG00000079462", "ENSG00000079462")</f>
        <v>ENSG00000079462</v>
      </c>
      <c r="M1046" s="12" t="s">
        <v>16314</v>
      </c>
      <c r="N1046" s="12" t="s">
        <v>16315</v>
      </c>
    </row>
    <row r="1047" spans="1:14">
      <c r="A1047" s="12" t="s">
        <v>5056</v>
      </c>
      <c r="B1047" s="8">
        <v>798.75479781207798</v>
      </c>
      <c r="C1047" s="12">
        <v>1814.79924658708</v>
      </c>
      <c r="D1047" s="8">
        <v>-1.1839853689562401</v>
      </c>
      <c r="E1047" s="12">
        <v>1.06939153172929E-2</v>
      </c>
      <c r="F1047" s="8" t="s">
        <v>5057</v>
      </c>
      <c r="G1047" s="12" t="s">
        <v>5058</v>
      </c>
      <c r="H1047" s="12">
        <v>1</v>
      </c>
      <c r="I1047" s="13" t="str">
        <f>HYPERLINK("http://www.ncbi.nlm.nih.gov/gene/221143", "221143")</f>
        <v>221143</v>
      </c>
      <c r="J1047" s="13" t="str">
        <f>HYPERLINK("http://www.ncbi.nlm.nih.gov/nuccore/NM_174928", "NM_174928")</f>
        <v>NM_174928</v>
      </c>
      <c r="K1047" s="12" t="s">
        <v>5059</v>
      </c>
      <c r="L1047" s="13" t="str">
        <f>HYPERLINK("http://asia.ensembl.org/Homo_sapiens/Gene/Summary?g=ENSG00000150456", "ENSG00000150456")</f>
        <v>ENSG00000150456</v>
      </c>
      <c r="M1047" s="12" t="s">
        <v>17786</v>
      </c>
      <c r="N1047" s="12" t="s">
        <v>17787</v>
      </c>
    </row>
    <row r="1048" spans="1:14">
      <c r="A1048" s="12" t="s">
        <v>2097</v>
      </c>
      <c r="B1048" s="8">
        <v>57399.128013064103</v>
      </c>
      <c r="C1048" s="12">
        <v>130407.813995335</v>
      </c>
      <c r="D1048" s="8">
        <v>-1.1839295927183899</v>
      </c>
      <c r="E1048" s="12">
        <v>1.5458463776428301E-2</v>
      </c>
      <c r="F1048" s="8" t="s">
        <v>2098</v>
      </c>
      <c r="G1048" s="12" t="s">
        <v>16919</v>
      </c>
      <c r="H1048" s="12">
        <v>1</v>
      </c>
      <c r="I1048" s="13" t="str">
        <f>HYPERLINK("http://www.ncbi.nlm.nih.gov/gene/83443", "83443")</f>
        <v>83443</v>
      </c>
      <c r="J1048" s="13" t="str">
        <f>HYPERLINK("http://www.ncbi.nlm.nih.gov/nuccore/NM_031287", "NM_031287")</f>
        <v>NM_031287</v>
      </c>
      <c r="K1048" s="12" t="s">
        <v>2099</v>
      </c>
      <c r="L1048" s="13" t="str">
        <f>HYPERLINK("http://asia.ensembl.org/Homo_sapiens/Gene/Summary?g=ENSG00000169976", "ENSG00000169976")</f>
        <v>ENSG00000169976</v>
      </c>
      <c r="M1048" s="12" t="s">
        <v>2100</v>
      </c>
      <c r="N1048" s="12" t="s">
        <v>2101</v>
      </c>
    </row>
    <row r="1049" spans="1:14">
      <c r="A1049" s="12" t="s">
        <v>10280</v>
      </c>
      <c r="B1049" s="8">
        <v>12570.1211457462</v>
      </c>
      <c r="C1049" s="12">
        <v>28555.771636914498</v>
      </c>
      <c r="D1049" s="8">
        <v>-1.1837838158335201</v>
      </c>
      <c r="E1049" s="12">
        <v>1.14054531673207E-2</v>
      </c>
      <c r="F1049" s="8" t="s">
        <v>3516</v>
      </c>
      <c r="G1049" s="12" t="s">
        <v>3517</v>
      </c>
      <c r="H1049" s="12">
        <v>1</v>
      </c>
      <c r="I1049" s="13" t="str">
        <f>HYPERLINK("http://www.ncbi.nlm.nih.gov/gene/7169", "7169")</f>
        <v>7169</v>
      </c>
      <c r="J1049" s="13" t="str">
        <f>HYPERLINK("http://www.ncbi.nlm.nih.gov/nuccore/NM_213674", "NM_213674")</f>
        <v>NM_213674</v>
      </c>
      <c r="K1049" s="12" t="s">
        <v>10279</v>
      </c>
      <c r="L1049" s="13" t="str">
        <f>HYPERLINK("http://asia.ensembl.org/Homo_sapiens/Gene/Summary?g=ENSG00000198467", "ENSG00000198467")</f>
        <v>ENSG00000198467</v>
      </c>
      <c r="M1049" s="12" t="s">
        <v>17332</v>
      </c>
      <c r="N1049" s="12" t="s">
        <v>17333</v>
      </c>
    </row>
    <row r="1050" spans="1:14">
      <c r="A1050" s="12" t="s">
        <v>7136</v>
      </c>
      <c r="B1050" s="8">
        <v>2626.9074081601302</v>
      </c>
      <c r="C1050" s="12">
        <v>5965.6967986862301</v>
      </c>
      <c r="D1050" s="8">
        <v>-1.1833253058070901</v>
      </c>
      <c r="E1050" s="12">
        <v>1.06419843767275E-2</v>
      </c>
      <c r="F1050" s="8" t="s">
        <v>7137</v>
      </c>
      <c r="G1050" s="12" t="s">
        <v>7138</v>
      </c>
      <c r="H1050" s="12">
        <v>4</v>
      </c>
      <c r="I1050" s="12" t="s">
        <v>7139</v>
      </c>
      <c r="J1050" s="12" t="s">
        <v>7140</v>
      </c>
      <c r="K1050" s="12" t="s">
        <v>7141</v>
      </c>
      <c r="L1050" s="13" t="str">
        <f>HYPERLINK("http://asia.ensembl.org/Homo_sapiens/Gene/Summary?g=ENSG00000165775", "ENSG00000165775")</f>
        <v>ENSG00000165775</v>
      </c>
      <c r="M1050" s="12" t="s">
        <v>18386</v>
      </c>
      <c r="N1050" s="12" t="s">
        <v>18387</v>
      </c>
    </row>
    <row r="1051" spans="1:14">
      <c r="A1051" s="12" t="s">
        <v>1547</v>
      </c>
      <c r="B1051" s="8">
        <v>982.92089460376201</v>
      </c>
      <c r="C1051" s="12">
        <v>2231.7755535558899</v>
      </c>
      <c r="D1051" s="8">
        <v>-1.1830447263386601</v>
      </c>
      <c r="E1051" s="12">
        <v>1.42457431632982E-2</v>
      </c>
      <c r="F1051" s="8" t="s">
        <v>1548</v>
      </c>
      <c r="G1051" s="12" t="s">
        <v>16678</v>
      </c>
      <c r="H1051" s="12">
        <v>1</v>
      </c>
      <c r="I1051" s="13" t="str">
        <f>HYPERLINK("http://www.ncbi.nlm.nih.gov/gene/10991", "10991")</f>
        <v>10991</v>
      </c>
      <c r="J1051" s="13" t="str">
        <f>HYPERLINK("http://www.ncbi.nlm.nih.gov/nuccore/NM_006841", "NM_006841")</f>
        <v>NM_006841</v>
      </c>
      <c r="K1051" s="12" t="s">
        <v>1549</v>
      </c>
      <c r="L1051" s="13" t="str">
        <f>HYPERLINK("http://asia.ensembl.org/Homo_sapiens/Gene/Summary?g=ENSG00000188338", "ENSG00000188338")</f>
        <v>ENSG00000188338</v>
      </c>
      <c r="M1051" s="12" t="s">
        <v>16679</v>
      </c>
      <c r="N1051" s="12" t="s">
        <v>16680</v>
      </c>
    </row>
    <row r="1052" spans="1:14">
      <c r="A1052" s="12" t="s">
        <v>11035</v>
      </c>
      <c r="B1052" s="8">
        <v>1536.33231916298</v>
      </c>
      <c r="C1052" s="12">
        <v>3488.1980317972402</v>
      </c>
      <c r="D1052" s="8">
        <v>-1.1829916324520799</v>
      </c>
      <c r="E1052" s="12">
        <v>2.73644181142453E-3</v>
      </c>
      <c r="F1052" s="8" t="s">
        <v>1767</v>
      </c>
      <c r="G1052" s="12" t="s">
        <v>1768</v>
      </c>
      <c r="H1052" s="12">
        <v>1</v>
      </c>
      <c r="I1052" s="13" t="str">
        <f>HYPERLINK("http://www.ncbi.nlm.nih.gov/gene/54954", "54954")</f>
        <v>54954</v>
      </c>
      <c r="J1052" s="13" t="str">
        <f>HYPERLINK("http://www.ncbi.nlm.nih.gov/nuccore/NM_198456", "NM_198456")</f>
        <v>NM_198456</v>
      </c>
      <c r="K1052" s="12" t="s">
        <v>11036</v>
      </c>
      <c r="L1052" s="13" t="str">
        <f>HYPERLINK("http://asia.ensembl.org/Homo_sapiens/Gene/Summary?g=ENSG00000184083", "ENSG00000184083")</f>
        <v>ENSG00000184083</v>
      </c>
      <c r="M1052" s="12" t="s">
        <v>19936</v>
      </c>
      <c r="N1052" s="12" t="s">
        <v>19937</v>
      </c>
    </row>
    <row r="1053" spans="1:14">
      <c r="A1053" s="12" t="s">
        <v>5320</v>
      </c>
      <c r="B1053" s="8">
        <v>546.43163922891097</v>
      </c>
      <c r="C1053" s="12">
        <v>1240.51909517437</v>
      </c>
      <c r="D1053" s="8">
        <v>-1.18283101723595</v>
      </c>
      <c r="E1053" s="12">
        <v>4.2716751915649002E-3</v>
      </c>
      <c r="F1053" s="8" t="s">
        <v>5321</v>
      </c>
      <c r="G1053" s="12" t="s">
        <v>5322</v>
      </c>
      <c r="H1053" s="12">
        <v>1</v>
      </c>
      <c r="I1053" s="13" t="str">
        <f>HYPERLINK("http://www.ncbi.nlm.nih.gov/gene/10603", "10603")</f>
        <v>10603</v>
      </c>
      <c r="J1053" s="13" t="str">
        <f>HYPERLINK("http://www.ncbi.nlm.nih.gov/nuccore/NM_020979", "NM_020979")</f>
        <v>NM_020979</v>
      </c>
      <c r="K1053" s="12" t="s">
        <v>5323</v>
      </c>
      <c r="L1053" s="13" t="str">
        <f>HYPERLINK("http://asia.ensembl.org/Homo_sapiens/Gene/Summary?g=ENSG00000160999", "ENSG00000160999")</f>
        <v>ENSG00000160999</v>
      </c>
      <c r="M1053" s="12" t="s">
        <v>17845</v>
      </c>
      <c r="N1053" s="12" t="s">
        <v>17846</v>
      </c>
    </row>
    <row r="1054" spans="1:14">
      <c r="A1054" s="12" t="s">
        <v>4330</v>
      </c>
      <c r="B1054" s="8">
        <v>606.28743271408996</v>
      </c>
      <c r="C1054" s="12">
        <v>1376.30337580573</v>
      </c>
      <c r="D1054" s="8">
        <v>-1.1827246921844701</v>
      </c>
      <c r="E1054" s="12">
        <v>3.0554458955269299E-3</v>
      </c>
      <c r="F1054" s="8" t="s">
        <v>4331</v>
      </c>
      <c r="G1054" s="12" t="s">
        <v>4332</v>
      </c>
      <c r="H1054" s="12">
        <v>1</v>
      </c>
      <c r="I1054" s="13" t="str">
        <f>HYPERLINK("http://www.ncbi.nlm.nih.gov/gene/343637", "343637")</f>
        <v>343637</v>
      </c>
      <c r="J1054" s="12" t="s">
        <v>17657</v>
      </c>
      <c r="K1054" s="12" t="s">
        <v>17658</v>
      </c>
      <c r="L1054" s="13" t="str">
        <f>HYPERLINK("http://asia.ensembl.org/Homo_sapiens/Gene/Summary?g=ENSG00000101282", "ENSG00000101282")</f>
        <v>ENSG00000101282</v>
      </c>
      <c r="M1054" s="12" t="s">
        <v>17659</v>
      </c>
      <c r="N1054" s="12" t="s">
        <v>17660</v>
      </c>
    </row>
    <row r="1055" spans="1:14">
      <c r="A1055" s="12" t="s">
        <v>6038</v>
      </c>
      <c r="B1055" s="8">
        <v>6236.4483261810001</v>
      </c>
      <c r="C1055" s="12">
        <v>14156.652182588599</v>
      </c>
      <c r="D1055" s="8">
        <v>-1.1826835824758899</v>
      </c>
      <c r="E1055" s="12">
        <v>1.38357532434905E-2</v>
      </c>
      <c r="F1055" s="8" t="s">
        <v>6039</v>
      </c>
      <c r="G1055" s="12" t="s">
        <v>6040</v>
      </c>
      <c r="H1055" s="12">
        <v>1</v>
      </c>
      <c r="I1055" s="13" t="str">
        <f>HYPERLINK("http://www.ncbi.nlm.nih.gov/gene/56943", "56943")</f>
        <v>56943</v>
      </c>
      <c r="J1055" s="12" t="s">
        <v>18041</v>
      </c>
      <c r="K1055" s="12" t="s">
        <v>18042</v>
      </c>
      <c r="L1055" s="13" t="str">
        <f>HYPERLINK("http://asia.ensembl.org/Homo_sapiens/Gene/Summary?g=ENSG00000120533", "ENSG00000120533")</f>
        <v>ENSG00000120533</v>
      </c>
      <c r="M1055" s="12" t="s">
        <v>18043</v>
      </c>
      <c r="N1055" s="12" t="s">
        <v>18044</v>
      </c>
    </row>
    <row r="1056" spans="1:14">
      <c r="A1056" s="12" t="s">
        <v>10413</v>
      </c>
      <c r="B1056" s="8">
        <v>49101.7760274916</v>
      </c>
      <c r="C1056" s="12">
        <v>111457.751620817</v>
      </c>
      <c r="D1056" s="8">
        <v>-1.18264984273288</v>
      </c>
      <c r="E1056" s="12">
        <v>9.1987282955363799E-3</v>
      </c>
      <c r="F1056" s="8" t="s">
        <v>8254</v>
      </c>
      <c r="G1056" s="12" t="s">
        <v>147</v>
      </c>
      <c r="H1056" s="12">
        <v>1</v>
      </c>
      <c r="I1056" s="13" t="str">
        <f>HYPERLINK("http://www.ncbi.nlm.nih.gov/gene/292", "292")</f>
        <v>292</v>
      </c>
      <c r="J1056" s="13" t="str">
        <f>HYPERLINK("http://www.ncbi.nlm.nih.gov/nuccore/NM_001152", "NM_001152")</f>
        <v>NM_001152</v>
      </c>
      <c r="K1056" s="12" t="s">
        <v>8255</v>
      </c>
      <c r="L1056" s="13" t="str">
        <f>HYPERLINK("http://asia.ensembl.org/Homo_sapiens/Gene/Summary?g=ENSG00000005022", "ENSG00000005022")</f>
        <v>ENSG00000005022</v>
      </c>
      <c r="M1056" s="12" t="s">
        <v>18753</v>
      </c>
      <c r="N1056" s="12" t="s">
        <v>8256</v>
      </c>
    </row>
    <row r="1057" spans="1:14">
      <c r="A1057" s="12" t="s">
        <v>6369</v>
      </c>
      <c r="B1057" s="8">
        <v>16719.107240616799</v>
      </c>
      <c r="C1057" s="12">
        <v>37945.067770678601</v>
      </c>
      <c r="D1057" s="8">
        <v>-1.1824145583122501</v>
      </c>
      <c r="E1057" s="12">
        <v>6.7822385503507297E-3</v>
      </c>
      <c r="F1057" s="8" t="s">
        <v>6370</v>
      </c>
      <c r="G1057" s="12" t="s">
        <v>6371</v>
      </c>
      <c r="H1057" s="12">
        <v>1</v>
      </c>
      <c r="I1057" s="13" t="str">
        <f>HYPERLINK("http://www.ncbi.nlm.nih.gov/gene/55847", "55847")</f>
        <v>55847</v>
      </c>
      <c r="J1057" s="13" t="str">
        <f>HYPERLINK("http://www.ncbi.nlm.nih.gov/nuccore/NM_018464", "NM_018464")</f>
        <v>NM_018464</v>
      </c>
      <c r="K1057" s="12" t="s">
        <v>6372</v>
      </c>
      <c r="L1057" s="13" t="str">
        <f>HYPERLINK("http://asia.ensembl.org/Homo_sapiens/Gene/Summary?g=ENSG00000122873", "ENSG00000122873")</f>
        <v>ENSG00000122873</v>
      </c>
      <c r="M1057" s="12" t="s">
        <v>18135</v>
      </c>
      <c r="N1057" s="12" t="s">
        <v>6373</v>
      </c>
    </row>
    <row r="1058" spans="1:14">
      <c r="A1058" s="12" t="s">
        <v>7979</v>
      </c>
      <c r="B1058" s="8">
        <v>7265.0818927959499</v>
      </c>
      <c r="C1058" s="12">
        <v>16487.482315744499</v>
      </c>
      <c r="D1058" s="8">
        <v>-1.1823201467836699</v>
      </c>
      <c r="E1058" s="12">
        <v>1.07920533681656E-2</v>
      </c>
      <c r="F1058" s="8" t="s">
        <v>7248</v>
      </c>
      <c r="G1058" s="12" t="s">
        <v>7249</v>
      </c>
      <c r="H1058" s="12">
        <v>1</v>
      </c>
      <c r="I1058" s="13" t="str">
        <f>HYPERLINK("http://www.ncbi.nlm.nih.gov/gene/84650", "84650")</f>
        <v>84650</v>
      </c>
      <c r="J1058" s="13" t="str">
        <f>HYPERLINK("http://www.ncbi.nlm.nih.gov/nuccore/NM_032565", "NM_032565")</f>
        <v>NM_032565</v>
      </c>
      <c r="K1058" s="12" t="s">
        <v>7250</v>
      </c>
      <c r="L1058" s="13" t="str">
        <f>HYPERLINK("http://asia.ensembl.org/Homo_sapiens/Gene/Summary?g=ENSG00000123179", "ENSG00000123179")</f>
        <v>ENSG00000123179</v>
      </c>
      <c r="M1058" s="12" t="s">
        <v>18447</v>
      </c>
      <c r="N1058" s="12" t="s">
        <v>18448</v>
      </c>
    </row>
    <row r="1059" spans="1:14">
      <c r="A1059" s="12" t="s">
        <v>7978</v>
      </c>
      <c r="B1059" s="8">
        <v>26811.7834218219</v>
      </c>
      <c r="C1059" s="12">
        <v>60843.066590638402</v>
      </c>
      <c r="D1059" s="8">
        <v>-1.18222568378565</v>
      </c>
      <c r="E1059" s="12">
        <v>9.5140685882184103E-3</v>
      </c>
      <c r="F1059" s="8" t="s">
        <v>4239</v>
      </c>
      <c r="G1059" s="12" t="s">
        <v>17623</v>
      </c>
      <c r="H1059" s="12">
        <v>1</v>
      </c>
      <c r="I1059" s="13" t="str">
        <f>HYPERLINK("http://www.ncbi.nlm.nih.gov/gene/10577", "10577")</f>
        <v>10577</v>
      </c>
      <c r="J1059" s="13" t="str">
        <f>HYPERLINK("http://www.ncbi.nlm.nih.gov/nuccore/NM_006432", "NM_006432")</f>
        <v>NM_006432</v>
      </c>
      <c r="K1059" s="12" t="s">
        <v>4240</v>
      </c>
      <c r="L1059" s="13" t="str">
        <f>HYPERLINK("http://asia.ensembl.org/Homo_sapiens/Gene/Summary?g=ENSG00000119655", "ENSG00000119655")</f>
        <v>ENSG00000119655</v>
      </c>
      <c r="M1059" s="12" t="s">
        <v>17624</v>
      </c>
      <c r="N1059" s="12" t="s">
        <v>17625</v>
      </c>
    </row>
    <row r="1060" spans="1:14">
      <c r="A1060" s="12" t="s">
        <v>8234</v>
      </c>
      <c r="B1060" s="8">
        <v>1564.8191616880299</v>
      </c>
      <c r="C1060" s="12">
        <v>3550.6641110837099</v>
      </c>
      <c r="D1060" s="8">
        <v>-1.1820929476991899</v>
      </c>
      <c r="E1060" s="12">
        <v>7.79855917749845E-3</v>
      </c>
      <c r="F1060" s="8" t="s">
        <v>8235</v>
      </c>
      <c r="G1060" s="12" t="s">
        <v>8236</v>
      </c>
      <c r="H1060" s="12">
        <v>1</v>
      </c>
      <c r="I1060" s="13" t="str">
        <f>HYPERLINK("http://www.ncbi.nlm.nih.gov/gene/83896", "83896")</f>
        <v>83896</v>
      </c>
      <c r="J1060" s="13" t="str">
        <f>HYPERLINK("http://www.ncbi.nlm.nih.gov/nuccore/NM_031958", "NM_031958")</f>
        <v>NM_031958</v>
      </c>
      <c r="K1060" s="12" t="s">
        <v>8237</v>
      </c>
      <c r="L1060" s="13" t="str">
        <f>HYPERLINK("http://asia.ensembl.org/Homo_sapiens/Gene/Summary?g=ENSG00000212901", "ENSG00000212901")</f>
        <v>ENSG00000212901</v>
      </c>
      <c r="M1060" s="12" t="s">
        <v>18750</v>
      </c>
      <c r="N1060" s="12" t="s">
        <v>8238</v>
      </c>
    </row>
    <row r="1061" spans="1:14">
      <c r="A1061" s="12" t="s">
        <v>11261</v>
      </c>
      <c r="B1061" s="8">
        <v>591.78523257273798</v>
      </c>
      <c r="C1061" s="12">
        <v>1342.6474485338399</v>
      </c>
      <c r="D1061" s="8">
        <v>-1.1819349315598899</v>
      </c>
      <c r="E1061" s="12">
        <v>5.6526908887679402E-4</v>
      </c>
      <c r="F1061" s="8" t="s">
        <v>9543</v>
      </c>
      <c r="G1061" s="12" t="s">
        <v>9544</v>
      </c>
      <c r="H1061" s="12">
        <v>1</v>
      </c>
      <c r="I1061" s="13" t="str">
        <f>HYPERLINK("http://www.ncbi.nlm.nih.gov/gene/401262", "401262")</f>
        <v>401262</v>
      </c>
      <c r="J1061" s="13" t="str">
        <f>HYPERLINK("http://www.ncbi.nlm.nih.gov/nuccore/NM_206922", "NM_206922")</f>
        <v>NM_206922</v>
      </c>
      <c r="K1061" s="12" t="s">
        <v>9545</v>
      </c>
      <c r="L1061" s="13" t="str">
        <f>HYPERLINK("http://asia.ensembl.org/Homo_sapiens/Gene/Summary?g=ENSG00000146215", "ENSG00000146215")</f>
        <v>ENSG00000146215</v>
      </c>
      <c r="M1061" s="12" t="s">
        <v>19183</v>
      </c>
      <c r="N1061" s="12" t="s">
        <v>19184</v>
      </c>
    </row>
    <row r="1062" spans="1:14">
      <c r="A1062" s="12" t="s">
        <v>2616</v>
      </c>
      <c r="B1062" s="8">
        <v>56.9407401823321</v>
      </c>
      <c r="C1062" s="12">
        <v>129.13029860316999</v>
      </c>
      <c r="D1062" s="8">
        <v>-1.1812943962542899</v>
      </c>
      <c r="E1062" s="12">
        <v>3.0449818081851798E-3</v>
      </c>
      <c r="F1062" s="8" t="s">
        <v>2617</v>
      </c>
      <c r="G1062" s="12" t="s">
        <v>2618</v>
      </c>
      <c r="H1062" s="12">
        <v>1</v>
      </c>
      <c r="I1062" s="13" t="str">
        <f>HYPERLINK("http://www.ncbi.nlm.nih.gov/gene/116093", "116093")</f>
        <v>116093</v>
      </c>
      <c r="J1062" s="13" t="str">
        <f>HYPERLINK("http://www.ncbi.nlm.nih.gov/nuccore/NM_052952", "NM_052952")</f>
        <v>NM_052952</v>
      </c>
      <c r="K1062" s="12" t="s">
        <v>2619</v>
      </c>
      <c r="L1062" s="13" t="str">
        <f>HYPERLINK("http://asia.ensembl.org/Homo_sapiens/Gene/Summary?g=ENSG00000174325", "ENSG00000174325")</f>
        <v>ENSG00000174325</v>
      </c>
      <c r="M1062" s="12" t="s">
        <v>2620</v>
      </c>
      <c r="N1062" s="12" t="s">
        <v>2621</v>
      </c>
    </row>
    <row r="1063" spans="1:14">
      <c r="A1063" s="12" t="s">
        <v>9585</v>
      </c>
      <c r="B1063" s="8">
        <v>134.53931692828101</v>
      </c>
      <c r="C1063" s="12">
        <v>305.07598368579198</v>
      </c>
      <c r="D1063" s="8">
        <v>-1.18114077339739</v>
      </c>
      <c r="E1063" s="12">
        <v>1.3745791591495101E-3</v>
      </c>
      <c r="F1063" s="8" t="s">
        <v>9586</v>
      </c>
      <c r="G1063" s="12" t="s">
        <v>19203</v>
      </c>
      <c r="H1063" s="12">
        <v>1</v>
      </c>
      <c r="I1063" s="13" t="str">
        <f>HYPERLINK("http://www.ncbi.nlm.nih.gov/gene/440585", "440585")</f>
        <v>440585</v>
      </c>
      <c r="J1063" s="13" t="str">
        <f>HYPERLINK("http://www.ncbi.nlm.nih.gov/nuccore/NM_001101376", "NM_001101376")</f>
        <v>NM_001101376</v>
      </c>
      <c r="K1063" s="12" t="s">
        <v>9587</v>
      </c>
      <c r="L1063" s="13" t="str">
        <f>HYPERLINK("http://asia.ensembl.org/Homo_sapiens/Gene/Summary?g=ENSG00000186973", "ENSG00000186973")</f>
        <v>ENSG00000186973</v>
      </c>
      <c r="M1063" s="12" t="s">
        <v>19204</v>
      </c>
      <c r="N1063" s="12" t="s">
        <v>19205</v>
      </c>
    </row>
    <row r="1064" spans="1:14">
      <c r="A1064" s="12" t="s">
        <v>853</v>
      </c>
      <c r="B1064" s="8">
        <v>246.54380255230399</v>
      </c>
      <c r="C1064" s="12">
        <v>558.83239503414097</v>
      </c>
      <c r="D1064" s="8">
        <v>-1.18057166714026</v>
      </c>
      <c r="E1064" s="12">
        <v>4.1962050060378496E-3</v>
      </c>
      <c r="F1064" s="8" t="s">
        <v>854</v>
      </c>
      <c r="G1064" s="12" t="s">
        <v>16455</v>
      </c>
      <c r="H1064" s="12">
        <v>1</v>
      </c>
      <c r="I1064" s="13" t="str">
        <f>HYPERLINK("http://www.ncbi.nlm.nih.gov/gene/127281", "127281")</f>
        <v>127281</v>
      </c>
      <c r="J1064" s="12" t="s">
        <v>16456</v>
      </c>
      <c r="K1064" s="12" t="s">
        <v>16457</v>
      </c>
      <c r="L1064" s="13" t="str">
        <f>HYPERLINK("http://asia.ensembl.org/Homo_sapiens/Gene/Summary?g=ENSG00000157870", "ENSG00000157870")</f>
        <v>ENSG00000157870</v>
      </c>
      <c r="M1064" s="12" t="s">
        <v>16458</v>
      </c>
      <c r="N1064" s="12" t="s">
        <v>16459</v>
      </c>
    </row>
    <row r="1065" spans="1:14">
      <c r="A1065" s="12" t="s">
        <v>2541</v>
      </c>
      <c r="B1065" s="8">
        <v>373.93117650854799</v>
      </c>
      <c r="C1065" s="12">
        <v>847.54380771911894</v>
      </c>
      <c r="D1065" s="8">
        <v>-1.1805151790873001</v>
      </c>
      <c r="E1065" s="12">
        <v>7.2567430162470701E-3</v>
      </c>
      <c r="F1065" s="8" t="s">
        <v>2542</v>
      </c>
      <c r="G1065" s="12" t="s">
        <v>2543</v>
      </c>
      <c r="H1065" s="12">
        <v>1</v>
      </c>
      <c r="I1065" s="13" t="str">
        <f>HYPERLINK("http://www.ncbi.nlm.nih.gov/gene/29104", "29104")</f>
        <v>29104</v>
      </c>
      <c r="J1065" s="12" t="s">
        <v>17025</v>
      </c>
      <c r="K1065" s="12" t="s">
        <v>17026</v>
      </c>
      <c r="L1065" s="13" t="str">
        <f>HYPERLINK("http://asia.ensembl.org/Homo_sapiens/Gene/Summary?g=ENSG00000156239", "ENSG00000156239")</f>
        <v>ENSG00000156239</v>
      </c>
      <c r="M1065" s="12" t="s">
        <v>17027</v>
      </c>
      <c r="N1065" s="12" t="s">
        <v>17028</v>
      </c>
    </row>
    <row r="1066" spans="1:14">
      <c r="A1066" s="12" t="s">
        <v>7003</v>
      </c>
      <c r="B1066" s="8">
        <v>46446.225983561999</v>
      </c>
      <c r="C1066" s="12">
        <v>105229.236216897</v>
      </c>
      <c r="D1066" s="8">
        <v>-1.17990231005378</v>
      </c>
      <c r="E1066" s="12">
        <v>3.1771551646290201E-3</v>
      </c>
      <c r="F1066" s="8" t="s">
        <v>7004</v>
      </c>
      <c r="G1066" s="12" t="s">
        <v>7005</v>
      </c>
      <c r="H1066" s="12">
        <v>1</v>
      </c>
      <c r="I1066" s="13" t="str">
        <f>HYPERLINK("http://www.ncbi.nlm.nih.gov/gene/6923", "6923")</f>
        <v>6923</v>
      </c>
      <c r="J1066" s="12" t="s">
        <v>18331</v>
      </c>
      <c r="K1066" s="12" t="s">
        <v>18332</v>
      </c>
      <c r="L1066" s="13" t="str">
        <f>HYPERLINK("http://asia.ensembl.org/Homo_sapiens/Gene/Summary?g=ENSG00000103363", "ENSG00000103363")</f>
        <v>ENSG00000103363</v>
      </c>
      <c r="M1066" s="12" t="s">
        <v>18333</v>
      </c>
      <c r="N1066" s="12" t="s">
        <v>18334</v>
      </c>
    </row>
    <row r="1067" spans="1:14">
      <c r="A1067" s="12" t="s">
        <v>9224</v>
      </c>
      <c r="B1067" s="8">
        <v>50.913818823414204</v>
      </c>
      <c r="C1067" s="12">
        <v>115.345978945878</v>
      </c>
      <c r="D1067" s="8">
        <v>-1.1798385263481499</v>
      </c>
      <c r="E1067" s="12">
        <v>3.3452749457171402E-2</v>
      </c>
      <c r="F1067" s="8" t="s">
        <v>9225</v>
      </c>
      <c r="G1067" s="12" t="s">
        <v>19100</v>
      </c>
      <c r="H1067" s="12">
        <v>1</v>
      </c>
      <c r="I1067" s="13" t="str">
        <f>HYPERLINK("http://www.ncbi.nlm.nih.gov/gene/10538", "10538")</f>
        <v>10538</v>
      </c>
      <c r="J1067" s="13" t="str">
        <f>HYPERLINK("http://www.ncbi.nlm.nih.gov/nuccore/NM_006399", "NM_006399")</f>
        <v>NM_006399</v>
      </c>
      <c r="K1067" s="12" t="s">
        <v>9226</v>
      </c>
      <c r="L1067" s="13" t="str">
        <f>HYPERLINK("http://asia.ensembl.org/Homo_sapiens/Gene/Summary?g=ENSG00000156127", "ENSG00000156127")</f>
        <v>ENSG00000156127</v>
      </c>
      <c r="M1067" s="12" t="s">
        <v>19101</v>
      </c>
      <c r="N1067" s="12" t="s">
        <v>19102</v>
      </c>
    </row>
    <row r="1068" spans="1:14">
      <c r="A1068" s="12" t="s">
        <v>7440</v>
      </c>
      <c r="B1068" s="8">
        <v>14406.718445172401</v>
      </c>
      <c r="C1068" s="12">
        <v>32636.529435949698</v>
      </c>
      <c r="D1068" s="8">
        <v>-1.1797458928661499</v>
      </c>
      <c r="E1068" s="12">
        <v>9.9733676784852805E-3</v>
      </c>
      <c r="F1068" s="8" t="s">
        <v>7441</v>
      </c>
      <c r="G1068" s="12" t="s">
        <v>7442</v>
      </c>
      <c r="H1068" s="12">
        <v>1</v>
      </c>
      <c r="I1068" s="13" t="str">
        <f>HYPERLINK("http://www.ncbi.nlm.nih.gov/gene/51287", "51287")</f>
        <v>51287</v>
      </c>
      <c r="J1068" s="13" t="str">
        <f>HYPERLINK("http://www.ncbi.nlm.nih.gov/nuccore/NM_016565", "NM_016565")</f>
        <v>NM_016565</v>
      </c>
      <c r="K1068" s="12" t="s">
        <v>7443</v>
      </c>
      <c r="L1068" s="13" t="str">
        <f>HYPERLINK("http://asia.ensembl.org/Homo_sapiens/Gene/Summary?g=ENSG00000181924", "ENSG00000181924")</f>
        <v>ENSG00000181924</v>
      </c>
      <c r="M1068" s="12" t="s">
        <v>18524</v>
      </c>
      <c r="N1068" s="12" t="s">
        <v>18525</v>
      </c>
    </row>
    <row r="1069" spans="1:14">
      <c r="A1069" s="12" t="s">
        <v>9881</v>
      </c>
      <c r="B1069" s="8">
        <v>378.02049079641898</v>
      </c>
      <c r="C1069" s="12">
        <v>856.24894743831499</v>
      </c>
      <c r="D1069" s="8">
        <v>-1.1795658709014301</v>
      </c>
      <c r="E1069" s="12">
        <v>3.2309279524668098E-4</v>
      </c>
      <c r="F1069" s="8" t="s">
        <v>9882</v>
      </c>
      <c r="G1069" s="12" t="s">
        <v>19390</v>
      </c>
      <c r="H1069" s="12">
        <v>1</v>
      </c>
      <c r="I1069" s="13" t="str">
        <f>HYPERLINK("http://www.ncbi.nlm.nih.gov/gene/147841", "147841")</f>
        <v>147841</v>
      </c>
      <c r="J1069" s="13" t="str">
        <f>HYPERLINK("http://www.ncbi.nlm.nih.gov/nuccore/NM_182513", "NM_182513")</f>
        <v>NM_182513</v>
      </c>
      <c r="K1069" s="12" t="s">
        <v>9883</v>
      </c>
      <c r="L1069" s="13" t="str">
        <f>HYPERLINK("http://asia.ensembl.org/Homo_sapiens/Gene/Summary?g=ENSG00000161888", "ENSG00000161888")</f>
        <v>ENSG00000161888</v>
      </c>
      <c r="M1069" s="12" t="s">
        <v>19391</v>
      </c>
      <c r="N1069" s="12" t="s">
        <v>19392</v>
      </c>
    </row>
    <row r="1070" spans="1:14">
      <c r="A1070" s="12" t="s">
        <v>8517</v>
      </c>
      <c r="B1070" s="8">
        <v>23808.858848553598</v>
      </c>
      <c r="C1070" s="12">
        <v>53913.505262191502</v>
      </c>
      <c r="D1070" s="8">
        <v>-1.17914823713497</v>
      </c>
      <c r="E1070" s="12">
        <v>3.2198429011716999E-3</v>
      </c>
      <c r="F1070" s="8" t="s">
        <v>7143</v>
      </c>
      <c r="G1070" s="12" t="s">
        <v>7144</v>
      </c>
      <c r="H1070" s="12">
        <v>1</v>
      </c>
      <c r="I1070" s="13" t="str">
        <f>HYPERLINK("http://www.ncbi.nlm.nih.gov/gene/10204", "10204")</f>
        <v>10204</v>
      </c>
      <c r="J1070" s="13" t="str">
        <f>HYPERLINK("http://www.ncbi.nlm.nih.gov/nuccore/NM_005796", "NM_005796")</f>
        <v>NM_005796</v>
      </c>
      <c r="K1070" s="12" t="s">
        <v>7145</v>
      </c>
      <c r="L1070" s="13" t="str">
        <f>HYPERLINK("http://asia.ensembl.org/Homo_sapiens/Gene/Summary?g=ENSG00000102898", "ENSG00000102898")</f>
        <v>ENSG00000102898</v>
      </c>
      <c r="M1070" s="12" t="s">
        <v>18388</v>
      </c>
      <c r="N1070" s="12" t="s">
        <v>18389</v>
      </c>
    </row>
    <row r="1071" spans="1:14">
      <c r="A1071" s="12" t="s">
        <v>10693</v>
      </c>
      <c r="B1071" s="8">
        <v>711.62643317479399</v>
      </c>
      <c r="C1071" s="12">
        <v>1611.3885365072299</v>
      </c>
      <c r="D1071" s="8">
        <v>-1.17911239204048</v>
      </c>
      <c r="E1071" s="12">
        <v>4.69487686005211E-3</v>
      </c>
      <c r="F1071" s="8" t="s">
        <v>4769</v>
      </c>
      <c r="G1071" s="12" t="s">
        <v>4770</v>
      </c>
      <c r="H1071" s="12">
        <v>1</v>
      </c>
      <c r="I1071" s="13" t="str">
        <f>HYPERLINK("http://www.ncbi.nlm.nih.gov/gene/51102", "51102")</f>
        <v>51102</v>
      </c>
      <c r="J1071" s="12" t="s">
        <v>19829</v>
      </c>
      <c r="K1071" s="12" t="s">
        <v>19830</v>
      </c>
      <c r="L1071" s="13" t="str">
        <f>HYPERLINK("http://asia.ensembl.org/Homo_sapiens/Gene/Summary?g=ENSG00000116353", "ENSG00000116353")</f>
        <v>ENSG00000116353</v>
      </c>
      <c r="M1071" s="12" t="s">
        <v>19831</v>
      </c>
      <c r="N1071" s="12" t="s">
        <v>19832</v>
      </c>
    </row>
    <row r="1072" spans="1:14">
      <c r="A1072" s="12" t="s">
        <v>11744</v>
      </c>
      <c r="B1072" s="8">
        <v>9649.0622866575395</v>
      </c>
      <c r="C1072" s="12">
        <v>21839.185866397002</v>
      </c>
      <c r="D1072" s="8">
        <v>-1.17845842506368</v>
      </c>
      <c r="E1072" s="12">
        <v>2.0466749838550899E-3</v>
      </c>
      <c r="F1072" s="8" t="s">
        <v>38</v>
      </c>
      <c r="G1072" s="12" t="s">
        <v>38</v>
      </c>
      <c r="H1072" s="12">
        <v>1</v>
      </c>
      <c r="I1072" s="12" t="s">
        <v>38</v>
      </c>
      <c r="J1072" s="12" t="s">
        <v>38</v>
      </c>
      <c r="K1072" s="12" t="s">
        <v>38</v>
      </c>
      <c r="L1072" s="13" t="str">
        <f>HYPERLINK("http://asia.ensembl.org/Homo_sapiens/Gene/Summary?g=ENSG00000268083", "ENSG00000268083")</f>
        <v>ENSG00000268083</v>
      </c>
      <c r="M1072" s="12" t="s">
        <v>11745</v>
      </c>
      <c r="N1072" s="12" t="s">
        <v>11746</v>
      </c>
    </row>
    <row r="1073" spans="1:14">
      <c r="A1073" s="12" t="s">
        <v>1867</v>
      </c>
      <c r="B1073" s="8">
        <v>15479.622720397099</v>
      </c>
      <c r="C1073" s="12">
        <v>35014.560349541403</v>
      </c>
      <c r="D1073" s="8">
        <v>-1.1775846632046501</v>
      </c>
      <c r="E1073" s="12">
        <v>4.2303982903099304E-3</v>
      </c>
      <c r="F1073" s="8" t="s">
        <v>1868</v>
      </c>
      <c r="G1073" s="12" t="s">
        <v>16813</v>
      </c>
      <c r="H1073" s="12">
        <v>4</v>
      </c>
      <c r="I1073" s="12" t="s">
        <v>1869</v>
      </c>
      <c r="J1073" s="12" t="s">
        <v>16814</v>
      </c>
      <c r="K1073" s="12" t="s">
        <v>16815</v>
      </c>
      <c r="L1073" s="13" t="str">
        <f>HYPERLINK("http://asia.ensembl.org/Homo_sapiens/Gene/Summary?g=ENSG00000135441", "ENSG00000135441")</f>
        <v>ENSG00000135441</v>
      </c>
      <c r="M1073" s="12" t="s">
        <v>16816</v>
      </c>
      <c r="N1073" s="12" t="s">
        <v>16817</v>
      </c>
    </row>
    <row r="1074" spans="1:14">
      <c r="A1074" s="12" t="s">
        <v>9774</v>
      </c>
      <c r="B1074" s="8">
        <v>84.289690375461504</v>
      </c>
      <c r="C1074" s="12">
        <v>190.57340082379801</v>
      </c>
      <c r="D1074" s="8">
        <v>-1.1769186815130801</v>
      </c>
      <c r="E1074" s="12">
        <v>3.5088227121232302E-3</v>
      </c>
      <c r="F1074" s="8" t="s">
        <v>9775</v>
      </c>
      <c r="G1074" s="12" t="s">
        <v>9776</v>
      </c>
      <c r="H1074" s="12">
        <v>1</v>
      </c>
      <c r="I1074" s="13" t="str">
        <f>HYPERLINK("http://www.ncbi.nlm.nih.gov/gene/10438", "10438")</f>
        <v>10438</v>
      </c>
      <c r="J1074" s="13" t="str">
        <f>HYPERLINK("http://www.ncbi.nlm.nih.gov/nuccore/NM_006333", "NM_006333")</f>
        <v>NM_006333</v>
      </c>
      <c r="K1074" s="12" t="s">
        <v>9777</v>
      </c>
      <c r="L1074" s="13" t="str">
        <f>HYPERLINK("http://asia.ensembl.org/Homo_sapiens/Gene/Summary?g=ENSG00000197223", "ENSG00000197223")</f>
        <v>ENSG00000197223</v>
      </c>
      <c r="M1074" s="12" t="s">
        <v>19318</v>
      </c>
      <c r="N1074" s="12" t="s">
        <v>19319</v>
      </c>
    </row>
    <row r="1075" spans="1:14">
      <c r="A1075" s="12" t="s">
        <v>3783</v>
      </c>
      <c r="B1075" s="8">
        <v>2641.3775081621998</v>
      </c>
      <c r="C1075" s="12">
        <v>5971.6457571547999</v>
      </c>
      <c r="D1075" s="8">
        <v>-1.17683807860121</v>
      </c>
      <c r="E1075" s="12">
        <v>8.6719290837659695E-4</v>
      </c>
      <c r="F1075" s="8" t="s">
        <v>3784</v>
      </c>
      <c r="G1075" s="12" t="s">
        <v>3785</v>
      </c>
      <c r="H1075" s="12">
        <v>1</v>
      </c>
      <c r="I1075" s="13" t="str">
        <f>HYPERLINK("http://www.ncbi.nlm.nih.gov/gene/6158", "6158")</f>
        <v>6158</v>
      </c>
      <c r="J1075" s="12" t="s">
        <v>17419</v>
      </c>
      <c r="K1075" s="12" t="s">
        <v>17420</v>
      </c>
      <c r="L1075" s="13" t="str">
        <f>HYPERLINK("http://asia.ensembl.org/Homo_sapiens/Gene/Summary?g=ENSG00000108107", "ENSG00000108107")</f>
        <v>ENSG00000108107</v>
      </c>
      <c r="M1075" s="12" t="s">
        <v>17421</v>
      </c>
      <c r="N1075" s="12" t="s">
        <v>17422</v>
      </c>
    </row>
    <row r="1076" spans="1:14">
      <c r="A1076" s="12" t="s">
        <v>6844</v>
      </c>
      <c r="B1076" s="8">
        <v>143948.93415039199</v>
      </c>
      <c r="C1076" s="12">
        <v>325388.91714887798</v>
      </c>
      <c r="D1076" s="8">
        <v>-1.1766080064817199</v>
      </c>
      <c r="E1076" s="12">
        <v>3.8702670380414E-3</v>
      </c>
      <c r="F1076" s="8" t="s">
        <v>6845</v>
      </c>
      <c r="G1076" s="12" t="s">
        <v>6846</v>
      </c>
      <c r="H1076" s="12">
        <v>1</v>
      </c>
      <c r="I1076" s="13" t="str">
        <f>HYPERLINK("http://www.ncbi.nlm.nih.gov/gene/1329", "1329")</f>
        <v>1329</v>
      </c>
      <c r="J1076" s="13" t="str">
        <f>HYPERLINK("http://www.ncbi.nlm.nih.gov/nuccore/NM_001862", "NM_001862")</f>
        <v>NM_001862</v>
      </c>
      <c r="K1076" s="12" t="s">
        <v>6847</v>
      </c>
      <c r="L1076" s="13" t="str">
        <f>HYPERLINK("http://asia.ensembl.org/Homo_sapiens/Gene/Summary?g=ENSG00000135940", "ENSG00000135940")</f>
        <v>ENSG00000135940</v>
      </c>
      <c r="M1076" s="12" t="s">
        <v>18277</v>
      </c>
      <c r="N1076" s="12" t="s">
        <v>6848</v>
      </c>
    </row>
    <row r="1077" spans="1:14">
      <c r="A1077" s="12" t="s">
        <v>7596</v>
      </c>
      <c r="B1077" s="8">
        <v>820.66498013290095</v>
      </c>
      <c r="C1077" s="12">
        <v>1854.9970994025</v>
      </c>
      <c r="D1077" s="8">
        <v>-1.1765516347056499</v>
      </c>
      <c r="E1077" s="12">
        <v>4.3614743440983901E-3</v>
      </c>
      <c r="F1077" s="8" t="s">
        <v>7597</v>
      </c>
      <c r="G1077" s="12" t="s">
        <v>7598</v>
      </c>
      <c r="H1077" s="12">
        <v>1</v>
      </c>
      <c r="I1077" s="13" t="str">
        <f>HYPERLINK("http://www.ncbi.nlm.nih.gov/gene/23417", "23417")</f>
        <v>23417</v>
      </c>
      <c r="J1077" s="13" t="str">
        <f>HYPERLINK("http://www.ncbi.nlm.nih.gov/nuccore/NM_012213", "NM_012213")</f>
        <v>NM_012213</v>
      </c>
      <c r="K1077" s="12" t="s">
        <v>7599</v>
      </c>
      <c r="L1077" s="13" t="str">
        <f>HYPERLINK("http://asia.ensembl.org/Homo_sapiens/Gene/Summary?g=ENSG00000103150", "ENSG00000103150")</f>
        <v>ENSG00000103150</v>
      </c>
      <c r="M1077" s="12" t="s">
        <v>18588</v>
      </c>
      <c r="N1077" s="12" t="s">
        <v>7600</v>
      </c>
    </row>
    <row r="1078" spans="1:14">
      <c r="A1078" s="12" t="s">
        <v>4178</v>
      </c>
      <c r="B1078" s="8">
        <v>42801.597021721798</v>
      </c>
      <c r="C1078" s="12">
        <v>96735.531769347799</v>
      </c>
      <c r="D1078" s="8">
        <v>-1.17638127323791</v>
      </c>
      <c r="E1078" s="12">
        <v>6.5008479639325403E-3</v>
      </c>
      <c r="F1078" s="8" t="s">
        <v>4179</v>
      </c>
      <c r="G1078" s="12" t="s">
        <v>286</v>
      </c>
      <c r="H1078" s="12">
        <v>1</v>
      </c>
      <c r="I1078" s="13" t="str">
        <f>HYPERLINK("http://www.ncbi.nlm.nih.gov/gene/4722", "4722")</f>
        <v>4722</v>
      </c>
      <c r="J1078" s="13" t="str">
        <f>HYPERLINK("http://www.ncbi.nlm.nih.gov/nuccore/NM_004551", "NM_004551")</f>
        <v>NM_004551</v>
      </c>
      <c r="K1078" s="12" t="s">
        <v>4180</v>
      </c>
      <c r="L1078" s="13" t="str">
        <f>HYPERLINK("http://asia.ensembl.org/Homo_sapiens/Gene/Summary?g=ENSG00000213619", "ENSG00000213619")</f>
        <v>ENSG00000213619</v>
      </c>
      <c r="M1078" s="12" t="s">
        <v>17602</v>
      </c>
      <c r="N1078" s="12" t="s">
        <v>17603</v>
      </c>
    </row>
    <row r="1079" spans="1:14">
      <c r="A1079" s="12" t="s">
        <v>7410</v>
      </c>
      <c r="B1079" s="8">
        <v>1755.3966390908099</v>
      </c>
      <c r="C1079" s="12">
        <v>3966.9778492887399</v>
      </c>
      <c r="D1079" s="8">
        <v>-1.1762432915788801</v>
      </c>
      <c r="E1079" s="12">
        <v>1.2324766582481E-2</v>
      </c>
      <c r="F1079" s="8" t="s">
        <v>7411</v>
      </c>
      <c r="G1079" s="12" t="s">
        <v>7412</v>
      </c>
      <c r="H1079" s="12">
        <v>1</v>
      </c>
      <c r="I1079" s="13" t="str">
        <f>HYPERLINK("http://www.ncbi.nlm.nih.gov/gene/138716", "138716")</f>
        <v>138716</v>
      </c>
      <c r="J1079" s="12" t="s">
        <v>18514</v>
      </c>
      <c r="K1079" s="12" t="s">
        <v>18515</v>
      </c>
      <c r="L1079" s="13" t="str">
        <f>HYPERLINK("http://asia.ensembl.org/Homo_sapiens/Gene/Summary?g=ENSG00000164967", "ENSG00000164967")</f>
        <v>ENSG00000164967</v>
      </c>
      <c r="M1079" s="12" t="s">
        <v>18516</v>
      </c>
      <c r="N1079" s="12" t="s">
        <v>18517</v>
      </c>
    </row>
    <row r="1080" spans="1:14">
      <c r="A1080" s="12" t="s">
        <v>10946</v>
      </c>
      <c r="B1080" s="8">
        <v>5214.4927204621699</v>
      </c>
      <c r="C1080" s="12">
        <v>11781.520599678601</v>
      </c>
      <c r="D1080" s="8">
        <v>-1.1759269392674501</v>
      </c>
      <c r="E1080" s="12">
        <v>3.86446630517512E-3</v>
      </c>
      <c r="F1080" s="8" t="s">
        <v>10947</v>
      </c>
      <c r="G1080" s="12" t="s">
        <v>10948</v>
      </c>
      <c r="H1080" s="12">
        <v>4</v>
      </c>
      <c r="I1080" s="12" t="s">
        <v>10949</v>
      </c>
      <c r="J1080" s="12" t="s">
        <v>19911</v>
      </c>
      <c r="K1080" s="12" t="s">
        <v>19912</v>
      </c>
      <c r="L1080" s="12" t="s">
        <v>10950</v>
      </c>
      <c r="M1080" s="12" t="s">
        <v>19913</v>
      </c>
      <c r="N1080" s="12" t="s">
        <v>19914</v>
      </c>
    </row>
    <row r="1081" spans="1:14">
      <c r="A1081" s="12" t="s">
        <v>3136</v>
      </c>
      <c r="B1081" s="8">
        <v>679.68136439736304</v>
      </c>
      <c r="C1081" s="12">
        <v>1535.60595548785</v>
      </c>
      <c r="D1081" s="8">
        <v>-1.1758775880161201</v>
      </c>
      <c r="E1081" s="12">
        <v>9.9181925949162904E-4</v>
      </c>
      <c r="F1081" s="8" t="s">
        <v>3137</v>
      </c>
      <c r="G1081" s="12" t="s">
        <v>3138</v>
      </c>
      <c r="H1081" s="12">
        <v>1</v>
      </c>
      <c r="I1081" s="13" t="str">
        <f>HYPERLINK("http://www.ncbi.nlm.nih.gov/gene/55295", "55295")</f>
        <v>55295</v>
      </c>
      <c r="J1081" s="13" t="str">
        <f>HYPERLINK("http://www.ncbi.nlm.nih.gov/nuccore/NM_018316", "NM_018316")</f>
        <v>NM_018316</v>
      </c>
      <c r="K1081" s="12" t="s">
        <v>3139</v>
      </c>
      <c r="L1081" s="13" t="str">
        <f>HYPERLINK("http://asia.ensembl.org/Homo_sapiens/Gene/Summary?g=ENSG00000167487", "ENSG00000167487")</f>
        <v>ENSG00000167487</v>
      </c>
      <c r="M1081" s="12" t="s">
        <v>17213</v>
      </c>
      <c r="N1081" s="12" t="s">
        <v>17214</v>
      </c>
    </row>
    <row r="1082" spans="1:14">
      <c r="A1082" s="12" t="s">
        <v>3391</v>
      </c>
      <c r="B1082" s="8">
        <v>55282.039840621001</v>
      </c>
      <c r="C1082" s="12">
        <v>124880.140295292</v>
      </c>
      <c r="D1082" s="8">
        <v>-1.1756613076814499</v>
      </c>
      <c r="E1082" s="12">
        <v>3.0944069566583598E-3</v>
      </c>
      <c r="F1082" s="8" t="s">
        <v>3392</v>
      </c>
      <c r="G1082" s="12" t="s">
        <v>3393</v>
      </c>
      <c r="H1082" s="12">
        <v>4</v>
      </c>
      <c r="I1082" s="12" t="s">
        <v>3394</v>
      </c>
      <c r="J1082" s="12" t="s">
        <v>3395</v>
      </c>
      <c r="K1082" s="12" t="s">
        <v>3396</v>
      </c>
      <c r="L1082" s="12" t="s">
        <v>3397</v>
      </c>
      <c r="M1082" s="12" t="s">
        <v>17291</v>
      </c>
      <c r="N1082" s="12" t="s">
        <v>17292</v>
      </c>
    </row>
    <row r="1083" spans="1:14">
      <c r="A1083" s="12" t="s">
        <v>8171</v>
      </c>
      <c r="B1083" s="8">
        <v>1488.6305745194099</v>
      </c>
      <c r="C1083" s="12">
        <v>3361.42811900894</v>
      </c>
      <c r="D1083" s="8">
        <v>-1.17508852678527</v>
      </c>
      <c r="E1083" s="12">
        <v>9.8819217875451993E-3</v>
      </c>
      <c r="F1083" s="8" t="s">
        <v>8172</v>
      </c>
      <c r="G1083" s="12" t="s">
        <v>8173</v>
      </c>
      <c r="H1083" s="12">
        <v>1</v>
      </c>
      <c r="I1083" s="13" t="str">
        <f>HYPERLINK("http://www.ncbi.nlm.nih.gov/gene/199990", "199990")</f>
        <v>199990</v>
      </c>
      <c r="J1083" s="12" t="s">
        <v>18738</v>
      </c>
      <c r="K1083" s="12" t="s">
        <v>18739</v>
      </c>
      <c r="L1083" s="13" t="str">
        <f>HYPERLINK("http://asia.ensembl.org/Homo_sapiens/Gene/Summary?g=ENSG00000162585", "ENSG00000162585")</f>
        <v>ENSG00000162585</v>
      </c>
      <c r="M1083" s="12" t="s">
        <v>18740</v>
      </c>
      <c r="N1083" s="12" t="s">
        <v>18741</v>
      </c>
    </row>
    <row r="1084" spans="1:14">
      <c r="A1084" s="12" t="s">
        <v>8266</v>
      </c>
      <c r="B1084" s="8">
        <v>27766.199127053402</v>
      </c>
      <c r="C1084" s="12">
        <v>62678.484263853097</v>
      </c>
      <c r="D1084" s="8">
        <v>-1.17464058961087</v>
      </c>
      <c r="E1084" s="12">
        <v>5.4554494466319998E-3</v>
      </c>
      <c r="F1084" s="8" t="s">
        <v>8267</v>
      </c>
      <c r="G1084" s="12" t="s">
        <v>8268</v>
      </c>
      <c r="H1084" s="12">
        <v>4</v>
      </c>
      <c r="I1084" s="12" t="s">
        <v>8269</v>
      </c>
      <c r="J1084" s="12" t="s">
        <v>8270</v>
      </c>
      <c r="K1084" s="12" t="s">
        <v>8271</v>
      </c>
      <c r="L1084" s="12" t="s">
        <v>8272</v>
      </c>
      <c r="M1084" s="12" t="s">
        <v>18761</v>
      </c>
      <c r="N1084" s="12" t="s">
        <v>18762</v>
      </c>
    </row>
    <row r="1085" spans="1:14">
      <c r="A1085" s="12" t="s">
        <v>707</v>
      </c>
      <c r="B1085" s="8">
        <v>393.71805639990703</v>
      </c>
      <c r="C1085" s="12">
        <v>888.58084427307801</v>
      </c>
      <c r="D1085" s="8">
        <v>-1.17434016274511</v>
      </c>
      <c r="E1085" s="12">
        <v>6.4992329499970599E-3</v>
      </c>
      <c r="F1085" s="8" t="s">
        <v>708</v>
      </c>
      <c r="G1085" s="12" t="s">
        <v>552</v>
      </c>
      <c r="H1085" s="12">
        <v>1</v>
      </c>
      <c r="I1085" s="13" t="str">
        <f>HYPERLINK("http://www.ncbi.nlm.nih.gov/gene/9249", "9249")</f>
        <v>9249</v>
      </c>
      <c r="J1085" s="13" t="str">
        <f>HYPERLINK("http://www.ncbi.nlm.nih.gov/nuccore/NM_004753", "NM_004753")</f>
        <v>NM_004753</v>
      </c>
      <c r="K1085" s="12" t="s">
        <v>709</v>
      </c>
      <c r="L1085" s="13" t="str">
        <f>HYPERLINK("http://asia.ensembl.org/Homo_sapiens/Gene/Summary?g=ENSG00000162496", "ENSG00000162496")</f>
        <v>ENSG00000162496</v>
      </c>
      <c r="M1085" s="12" t="s">
        <v>16424</v>
      </c>
      <c r="N1085" s="12" t="s">
        <v>16425</v>
      </c>
    </row>
    <row r="1086" spans="1:14">
      <c r="A1086" s="12" t="s">
        <v>3880</v>
      </c>
      <c r="B1086" s="8">
        <v>3341.1897292848298</v>
      </c>
      <c r="C1086" s="12">
        <v>7540.1276879678899</v>
      </c>
      <c r="D1086" s="8">
        <v>-1.17422704659613</v>
      </c>
      <c r="E1086" s="12">
        <v>4.5773723676081103E-3</v>
      </c>
      <c r="F1086" s="8" t="s">
        <v>3881</v>
      </c>
      <c r="G1086" s="12" t="s">
        <v>3882</v>
      </c>
      <c r="H1086" s="12">
        <v>1</v>
      </c>
      <c r="I1086" s="13" t="str">
        <f>HYPERLINK("http://www.ncbi.nlm.nih.gov/gene/128853", "128853")</f>
        <v>128853</v>
      </c>
      <c r="J1086" s="12" t="s">
        <v>17458</v>
      </c>
      <c r="K1086" s="12" t="s">
        <v>17459</v>
      </c>
      <c r="L1086" s="13" t="str">
        <f>HYPERLINK("http://asia.ensembl.org/Homo_sapiens/Gene/Summary?g=ENSG00000149599", "ENSG00000149599")</f>
        <v>ENSG00000149599</v>
      </c>
      <c r="M1086" s="12" t="s">
        <v>17460</v>
      </c>
      <c r="N1086" s="12" t="s">
        <v>17461</v>
      </c>
    </row>
    <row r="1087" spans="1:14">
      <c r="A1087" s="12" t="s">
        <v>1204</v>
      </c>
      <c r="B1087" s="8">
        <v>298.802692293419</v>
      </c>
      <c r="C1087" s="12">
        <v>674.05954908607998</v>
      </c>
      <c r="D1087" s="8">
        <v>-1.1736829031623699</v>
      </c>
      <c r="E1087" s="12">
        <v>6.5557492941027097E-3</v>
      </c>
      <c r="F1087" s="8" t="s">
        <v>1205</v>
      </c>
      <c r="G1087" s="12" t="s">
        <v>1206</v>
      </c>
      <c r="H1087" s="12">
        <v>1</v>
      </c>
      <c r="I1087" s="13" t="str">
        <f>HYPERLINK("http://www.ncbi.nlm.nih.gov/gene/623", "623")</f>
        <v>623</v>
      </c>
      <c r="J1087" s="13" t="str">
        <f>HYPERLINK("http://www.ncbi.nlm.nih.gov/nuccore/NM_000710", "NM_000710")</f>
        <v>NM_000710</v>
      </c>
      <c r="K1087" s="12" t="s">
        <v>1207</v>
      </c>
      <c r="L1087" s="13" t="str">
        <f>HYPERLINK("http://asia.ensembl.org/Homo_sapiens/Gene/Summary?g=ENSG00000100739", "ENSG00000100739")</f>
        <v>ENSG00000100739</v>
      </c>
      <c r="M1087" s="12" t="s">
        <v>16535</v>
      </c>
      <c r="N1087" s="12" t="s">
        <v>16536</v>
      </c>
    </row>
    <row r="1088" spans="1:14">
      <c r="A1088" s="12" t="s">
        <v>9945</v>
      </c>
      <c r="B1088" s="8">
        <v>504.14684498962498</v>
      </c>
      <c r="C1088" s="12">
        <v>1137.08560960466</v>
      </c>
      <c r="D1088" s="8">
        <v>-1.1734249568834201</v>
      </c>
      <c r="E1088" s="12">
        <v>1.63556281413272E-4</v>
      </c>
      <c r="F1088" s="8" t="s">
        <v>6596</v>
      </c>
      <c r="G1088" s="12" t="s">
        <v>6597</v>
      </c>
      <c r="H1088" s="12">
        <v>1</v>
      </c>
      <c r="I1088" s="13" t="str">
        <f>HYPERLINK("http://www.ncbi.nlm.nih.gov/gene/11132", "11132")</f>
        <v>11132</v>
      </c>
      <c r="J1088" s="12" t="s">
        <v>19454</v>
      </c>
      <c r="K1088" s="12" t="s">
        <v>19455</v>
      </c>
      <c r="L1088" s="13" t="str">
        <f>HYPERLINK("http://asia.ensembl.org/Homo_sapiens/Gene/Summary?g=ENSG00000142330", "ENSG00000142330")</f>
        <v>ENSG00000142330</v>
      </c>
      <c r="M1088" s="12" t="s">
        <v>19456</v>
      </c>
      <c r="N1088" s="12" t="s">
        <v>19457</v>
      </c>
    </row>
    <row r="1089" spans="1:14">
      <c r="A1089" s="12" t="s">
        <v>5710</v>
      </c>
      <c r="B1089" s="8">
        <v>479.70501305753697</v>
      </c>
      <c r="C1089" s="12">
        <v>1081.95045844028</v>
      </c>
      <c r="D1089" s="8">
        <v>-1.1734150196247899</v>
      </c>
      <c r="E1089" s="12">
        <v>5.2152865339924102E-4</v>
      </c>
      <c r="F1089" s="8" t="s">
        <v>5711</v>
      </c>
      <c r="G1089" s="12" t="s">
        <v>17943</v>
      </c>
      <c r="H1089" s="12">
        <v>1</v>
      </c>
      <c r="I1089" s="13" t="str">
        <f>HYPERLINK("http://www.ncbi.nlm.nih.gov/gene/11145", "11145")</f>
        <v>11145</v>
      </c>
      <c r="J1089" s="13" t="str">
        <f>HYPERLINK("http://www.ncbi.nlm.nih.gov/nuccore/NM_007069", "NM_007069")</f>
        <v>NM_007069</v>
      </c>
      <c r="K1089" s="12" t="s">
        <v>5712</v>
      </c>
      <c r="L1089" s="13" t="str">
        <f>HYPERLINK("http://asia.ensembl.org/Homo_sapiens/Gene/Summary?g=ENSG00000176485", "ENSG00000176485")</f>
        <v>ENSG00000176485</v>
      </c>
      <c r="M1089" s="12" t="s">
        <v>17944</v>
      </c>
      <c r="N1089" s="12" t="s">
        <v>17945</v>
      </c>
    </row>
    <row r="1090" spans="1:14">
      <c r="A1090" s="12" t="s">
        <v>1089</v>
      </c>
      <c r="B1090" s="8">
        <v>152.17170705002701</v>
      </c>
      <c r="C1090" s="12">
        <v>343.20283480170201</v>
      </c>
      <c r="D1090" s="8">
        <v>-1.17336132265518</v>
      </c>
      <c r="E1090" s="12">
        <v>1.1519823865586199E-3</v>
      </c>
      <c r="F1090" s="8" t="s">
        <v>1090</v>
      </c>
      <c r="G1090" s="12" t="s">
        <v>16511</v>
      </c>
      <c r="H1090" s="12">
        <v>1</v>
      </c>
      <c r="I1090" s="13" t="str">
        <f>HYPERLINK("http://www.ncbi.nlm.nih.gov/gene/57731", "57731")</f>
        <v>57731</v>
      </c>
      <c r="J1090" s="13" t="str">
        <f>HYPERLINK("http://www.ncbi.nlm.nih.gov/nuccore/NM_020971", "NM_020971")</f>
        <v>NM_020971</v>
      </c>
      <c r="K1090" s="12" t="s">
        <v>1091</v>
      </c>
      <c r="L1090" s="13" t="str">
        <f>HYPERLINK("http://asia.ensembl.org/Homo_sapiens/Gene/Summary?g=ENSG00000160460", "ENSG00000160460")</f>
        <v>ENSG00000160460</v>
      </c>
      <c r="M1090" s="12" t="s">
        <v>16512</v>
      </c>
      <c r="N1090" s="12" t="s">
        <v>16513</v>
      </c>
    </row>
    <row r="1091" spans="1:14">
      <c r="A1091" s="12" t="s">
        <v>8582</v>
      </c>
      <c r="B1091" s="8">
        <v>82858.0996733223</v>
      </c>
      <c r="C1091" s="12">
        <v>186843.83842162901</v>
      </c>
      <c r="D1091" s="8">
        <v>-1.1731183505104701</v>
      </c>
      <c r="E1091" s="12">
        <v>7.6487786105012001E-3</v>
      </c>
      <c r="F1091" s="8" t="s">
        <v>7306</v>
      </c>
      <c r="G1091" s="12" t="s">
        <v>7307</v>
      </c>
      <c r="H1091" s="12">
        <v>1</v>
      </c>
      <c r="I1091" s="13" t="str">
        <f>HYPERLINK("http://www.ncbi.nlm.nih.gov/gene/6207", "6207")</f>
        <v>6207</v>
      </c>
      <c r="J1091" s="13" t="str">
        <f>HYPERLINK("http://www.ncbi.nlm.nih.gov/nuccore/NM_001017", "NM_001017")</f>
        <v>NM_001017</v>
      </c>
      <c r="K1091" s="12" t="s">
        <v>7308</v>
      </c>
      <c r="L1091" s="13" t="str">
        <f>HYPERLINK("http://asia.ensembl.org/Homo_sapiens/Gene/Summary?g=ENSG00000110700", "ENSG00000110700")</f>
        <v>ENSG00000110700</v>
      </c>
      <c r="M1091" s="12" t="s">
        <v>18475</v>
      </c>
      <c r="N1091" s="12" t="s">
        <v>18476</v>
      </c>
    </row>
    <row r="1092" spans="1:14">
      <c r="A1092" s="12" t="s">
        <v>11508</v>
      </c>
      <c r="B1092" s="8">
        <v>1183.4338853342999</v>
      </c>
      <c r="C1092" s="12">
        <v>2668.4709171280601</v>
      </c>
      <c r="D1092" s="8">
        <v>-1.1730341783404901</v>
      </c>
      <c r="E1092" s="12">
        <v>1.5910697922649399E-3</v>
      </c>
      <c r="F1092" s="8" t="s">
        <v>11509</v>
      </c>
      <c r="G1092" s="12" t="s">
        <v>11510</v>
      </c>
      <c r="H1092" s="12">
        <v>1</v>
      </c>
      <c r="I1092" s="13" t="str">
        <f>HYPERLINK("http://www.ncbi.nlm.nih.gov/gene/100652853", "100652853")</f>
        <v>100652853</v>
      </c>
      <c r="J1092" s="13" t="str">
        <f>HYPERLINK("http://www.ncbi.nlm.nih.gov/nuccore/NR_046368", "NR_046368")</f>
        <v>NR_046368</v>
      </c>
      <c r="K1092" s="12" t="s">
        <v>199</v>
      </c>
      <c r="L1092" s="13" t="str">
        <f>HYPERLINK("http://asia.ensembl.org/Homo_sapiens/Gene/Summary?g=ENSG00000272523", "ENSG00000272523")</f>
        <v>ENSG00000272523</v>
      </c>
      <c r="M1092" s="12" t="s">
        <v>11511</v>
      </c>
    </row>
    <row r="1093" spans="1:14">
      <c r="A1093" s="12" t="s">
        <v>3106</v>
      </c>
      <c r="B1093" s="8">
        <v>135.55300668580799</v>
      </c>
      <c r="C1093" s="12">
        <v>305.58154333469599</v>
      </c>
      <c r="D1093" s="8">
        <v>-1.1727002956108901</v>
      </c>
      <c r="E1093" s="12">
        <v>9.9911956595180006E-3</v>
      </c>
      <c r="F1093" s="8" t="s">
        <v>3107</v>
      </c>
      <c r="G1093" s="12" t="s">
        <v>3108</v>
      </c>
      <c r="H1093" s="12">
        <v>1</v>
      </c>
      <c r="I1093" s="13" t="str">
        <f>HYPERLINK("http://www.ncbi.nlm.nih.gov/gene/150", "150")</f>
        <v>150</v>
      </c>
      <c r="J1093" s="13" t="str">
        <f>HYPERLINK("http://www.ncbi.nlm.nih.gov/nuccore/NM_000681", "NM_000681")</f>
        <v>NM_000681</v>
      </c>
      <c r="K1093" s="12" t="s">
        <v>3109</v>
      </c>
      <c r="L1093" s="13" t="str">
        <f>HYPERLINK("http://asia.ensembl.org/Homo_sapiens/Gene/Summary?g=ENSG00000150594", "ENSG00000150594")</f>
        <v>ENSG00000150594</v>
      </c>
      <c r="M1093" s="12" t="s">
        <v>3110</v>
      </c>
      <c r="N1093" s="12" t="s">
        <v>3111</v>
      </c>
    </row>
    <row r="1094" spans="1:14">
      <c r="A1094" s="12" t="s">
        <v>9491</v>
      </c>
      <c r="B1094" s="8">
        <v>5503.0802479354797</v>
      </c>
      <c r="C1094" s="12">
        <v>12405.603338823599</v>
      </c>
      <c r="D1094" s="8">
        <v>-1.1726806296732899</v>
      </c>
      <c r="E1094" s="12">
        <v>1.0134386006808599E-2</v>
      </c>
      <c r="F1094" s="8" t="s">
        <v>6201</v>
      </c>
      <c r="G1094" s="12" t="s">
        <v>6202</v>
      </c>
      <c r="H1094" s="12">
        <v>1</v>
      </c>
      <c r="I1094" s="13" t="str">
        <f>HYPERLINK("http://www.ncbi.nlm.nih.gov/gene/55256", "55256")</f>
        <v>55256</v>
      </c>
      <c r="J1094" s="13" t="str">
        <f>HYPERLINK("http://www.ncbi.nlm.nih.gov/nuccore/NM_018269", "NM_018269")</f>
        <v>NM_018269</v>
      </c>
      <c r="K1094" s="12" t="s">
        <v>6203</v>
      </c>
      <c r="L1094" s="13" t="str">
        <f>HYPERLINK("http://asia.ensembl.org/Homo_sapiens/Gene/Summary?g=ENSG00000182551", "ENSG00000182551")</f>
        <v>ENSG00000182551</v>
      </c>
      <c r="M1094" s="12" t="s">
        <v>18082</v>
      </c>
      <c r="N1094" s="12" t="s">
        <v>18083</v>
      </c>
    </row>
    <row r="1095" spans="1:14">
      <c r="A1095" s="12" t="s">
        <v>6528</v>
      </c>
      <c r="B1095" s="8">
        <v>16619.338406730702</v>
      </c>
      <c r="C1095" s="12">
        <v>37456.087591990901</v>
      </c>
      <c r="D1095" s="8">
        <v>-1.1723372618216701</v>
      </c>
      <c r="E1095" s="12">
        <v>2.7512743318277799E-2</v>
      </c>
      <c r="F1095" s="8" t="s">
        <v>324</v>
      </c>
      <c r="G1095" s="12" t="s">
        <v>325</v>
      </c>
      <c r="H1095" s="12">
        <v>1</v>
      </c>
      <c r="I1095" s="13" t="str">
        <f>HYPERLINK("http://www.ncbi.nlm.nih.gov/gene/9448", "9448")</f>
        <v>9448</v>
      </c>
      <c r="J1095" s="12" t="s">
        <v>18200</v>
      </c>
      <c r="K1095" s="12" t="s">
        <v>18201</v>
      </c>
      <c r="L1095" s="13" t="str">
        <f>HYPERLINK("http://asia.ensembl.org/Homo_sapiens/Gene/Summary?g=ENSG00000071054", "ENSG00000071054")</f>
        <v>ENSG00000071054</v>
      </c>
      <c r="M1095" s="12" t="s">
        <v>11949</v>
      </c>
      <c r="N1095" s="12" t="s">
        <v>11950</v>
      </c>
    </row>
    <row r="1096" spans="1:14">
      <c r="A1096" s="12" t="s">
        <v>5188</v>
      </c>
      <c r="B1096" s="8">
        <v>1986.26579691345</v>
      </c>
      <c r="C1096" s="12">
        <v>4475.3096564891002</v>
      </c>
      <c r="D1096" s="8">
        <v>-1.1719288155882299</v>
      </c>
      <c r="E1096" s="12">
        <v>2.4077817254595801E-2</v>
      </c>
      <c r="F1096" s="8" t="s">
        <v>5189</v>
      </c>
      <c r="G1096" s="12" t="s">
        <v>5190</v>
      </c>
      <c r="H1096" s="12">
        <v>1</v>
      </c>
      <c r="I1096" s="13" t="str">
        <f>HYPERLINK("http://www.ncbi.nlm.nih.gov/gene/55683", "55683")</f>
        <v>55683</v>
      </c>
      <c r="J1096" s="12" t="s">
        <v>17818</v>
      </c>
      <c r="K1096" s="12" t="s">
        <v>17819</v>
      </c>
      <c r="L1096" s="13" t="str">
        <f>HYPERLINK("http://asia.ensembl.org/Homo_sapiens/Gene/Summary?g=ENSG00000114982", "ENSG00000114982")</f>
        <v>ENSG00000114982</v>
      </c>
      <c r="M1096" s="12" t="s">
        <v>17820</v>
      </c>
      <c r="N1096" s="12" t="s">
        <v>17821</v>
      </c>
    </row>
    <row r="1097" spans="1:14">
      <c r="A1097" s="12" t="s">
        <v>7403</v>
      </c>
      <c r="B1097" s="8">
        <v>8505.0638163423391</v>
      </c>
      <c r="C1097" s="12">
        <v>19161.9697740417</v>
      </c>
      <c r="D1097" s="8">
        <v>-1.17185190592535</v>
      </c>
      <c r="E1097" s="12">
        <v>7.42248191655351E-3</v>
      </c>
      <c r="F1097" s="8" t="s">
        <v>7404</v>
      </c>
      <c r="G1097" s="12" t="s">
        <v>7405</v>
      </c>
      <c r="H1097" s="12">
        <v>1</v>
      </c>
      <c r="I1097" s="13" t="str">
        <f>HYPERLINK("http://www.ncbi.nlm.nih.gov/gene/79622", "79622")</f>
        <v>79622</v>
      </c>
      <c r="J1097" s="13" t="str">
        <f>HYPERLINK("http://www.ncbi.nlm.nih.gov/nuccore/NM_024571", "NM_024571")</f>
        <v>NM_024571</v>
      </c>
      <c r="K1097" s="12" t="s">
        <v>7406</v>
      </c>
      <c r="L1097" s="13" t="str">
        <f>HYPERLINK("http://asia.ensembl.org/Homo_sapiens/Gene/Summary?g=ENSG00000161981", "ENSG00000161981")</f>
        <v>ENSG00000161981</v>
      </c>
      <c r="M1097" s="12" t="s">
        <v>18512</v>
      </c>
      <c r="N1097" s="12" t="s">
        <v>18513</v>
      </c>
    </row>
    <row r="1098" spans="1:14">
      <c r="A1098" s="12" t="s">
        <v>1924</v>
      </c>
      <c r="B1098" s="8">
        <v>2229.2008982306602</v>
      </c>
      <c r="C1098" s="12">
        <v>5021.3888610909498</v>
      </c>
      <c r="D1098" s="8">
        <v>-1.17155981315109</v>
      </c>
      <c r="E1098" s="12">
        <v>5.1059398001463904E-4</v>
      </c>
      <c r="F1098" s="8" t="s">
        <v>1925</v>
      </c>
      <c r="G1098" s="12" t="s">
        <v>1926</v>
      </c>
      <c r="H1098" s="12">
        <v>1</v>
      </c>
      <c r="I1098" s="13" t="str">
        <f>HYPERLINK("http://www.ncbi.nlm.nih.gov/gene/283234", "283234")</f>
        <v>283234</v>
      </c>
      <c r="J1098" s="13" t="str">
        <f>HYPERLINK("http://www.ncbi.nlm.nih.gov/nuccore/NM_032251", "NM_032251")</f>
        <v>NM_032251</v>
      </c>
      <c r="K1098" s="12" t="s">
        <v>1927</v>
      </c>
      <c r="L1098" s="13" t="str">
        <f>HYPERLINK("http://asia.ensembl.org/Homo_sapiens/Gene/Summary?g=ENSG00000168071", "ENSG00000168071")</f>
        <v>ENSG00000168071</v>
      </c>
      <c r="M1098" s="12" t="s">
        <v>16841</v>
      </c>
      <c r="N1098" s="12" t="s">
        <v>16842</v>
      </c>
    </row>
    <row r="1099" spans="1:14">
      <c r="A1099" s="12" t="s">
        <v>11604</v>
      </c>
      <c r="B1099" s="8">
        <v>1609.90537775095</v>
      </c>
      <c r="C1099" s="12">
        <v>3626.2529941378202</v>
      </c>
      <c r="D1099" s="8">
        <v>-1.171503685257</v>
      </c>
      <c r="E1099" s="12">
        <v>1.12619250945206E-2</v>
      </c>
      <c r="F1099" s="8" t="s">
        <v>11605</v>
      </c>
      <c r="G1099" s="12" t="s">
        <v>11606</v>
      </c>
      <c r="H1099" s="12">
        <v>1</v>
      </c>
      <c r="I1099" s="13" t="str">
        <f>HYPERLINK("http://www.ncbi.nlm.nih.gov/gene/643911", "643911")</f>
        <v>643911</v>
      </c>
      <c r="J1099" s="12" t="s">
        <v>20142</v>
      </c>
      <c r="K1099" s="12" t="s">
        <v>20143</v>
      </c>
      <c r="L1099" s="12" t="s">
        <v>38</v>
      </c>
      <c r="M1099" s="12" t="s">
        <v>38</v>
      </c>
      <c r="N1099" s="12" t="s">
        <v>38</v>
      </c>
    </row>
    <row r="1100" spans="1:14">
      <c r="A1100" s="12" t="s">
        <v>10028</v>
      </c>
      <c r="B1100" s="8">
        <v>836.51197108223403</v>
      </c>
      <c r="C1100" s="12">
        <v>1883.03652699587</v>
      </c>
      <c r="D1100" s="8">
        <v>-1.1706028939917901</v>
      </c>
      <c r="E1100" s="12">
        <v>2.1833920568424E-4</v>
      </c>
      <c r="F1100" s="8" t="s">
        <v>10029</v>
      </c>
      <c r="G1100" s="12" t="s">
        <v>10030</v>
      </c>
      <c r="H1100" s="12">
        <v>4</v>
      </c>
      <c r="I1100" s="12" t="s">
        <v>10031</v>
      </c>
      <c r="J1100" s="12" t="s">
        <v>19511</v>
      </c>
      <c r="K1100" s="12" t="s">
        <v>19512</v>
      </c>
      <c r="L1100" s="12" t="s">
        <v>10032</v>
      </c>
      <c r="M1100" s="12" t="s">
        <v>19513</v>
      </c>
      <c r="N1100" s="12" t="s">
        <v>19514</v>
      </c>
    </row>
    <row r="1101" spans="1:14">
      <c r="A1101" s="12" t="s">
        <v>3022</v>
      </c>
      <c r="B1101" s="8">
        <v>1258.1090893507601</v>
      </c>
      <c r="C1101" s="12">
        <v>2830.9546760405901</v>
      </c>
      <c r="D1101" s="8">
        <v>-1.1700316294393001</v>
      </c>
      <c r="E1101" s="12">
        <v>1.32318269596152E-2</v>
      </c>
      <c r="F1101" s="8" t="s">
        <v>3023</v>
      </c>
      <c r="G1101" s="12" t="s">
        <v>3024</v>
      </c>
      <c r="H1101" s="12">
        <v>1</v>
      </c>
      <c r="I1101" s="13" t="str">
        <f>HYPERLINK("http://www.ncbi.nlm.nih.gov/gene/153090", "153090")</f>
        <v>153090</v>
      </c>
      <c r="J1101" s="13" t="str">
        <f>HYPERLINK("http://www.ncbi.nlm.nih.gov/nuccore/NM_032552", "NM_032552")</f>
        <v>NM_032552</v>
      </c>
      <c r="K1101" s="12" t="s">
        <v>3025</v>
      </c>
      <c r="L1101" s="13" t="str">
        <f>HYPERLINK("http://asia.ensembl.org/Homo_sapiens/Gene/Summary?g=ENSG00000136848", "ENSG00000136848")</f>
        <v>ENSG00000136848</v>
      </c>
      <c r="M1101" s="12" t="s">
        <v>17179</v>
      </c>
      <c r="N1101" s="12" t="s">
        <v>17180</v>
      </c>
    </row>
    <row r="1102" spans="1:14">
      <c r="A1102" s="12" t="s">
        <v>1397</v>
      </c>
      <c r="B1102" s="8">
        <v>6125.0654100224701</v>
      </c>
      <c r="C1102" s="12">
        <v>13781.3486089943</v>
      </c>
      <c r="D1102" s="8">
        <v>-1.1699199175945401</v>
      </c>
      <c r="E1102" s="12">
        <v>1.11007259334632E-2</v>
      </c>
      <c r="F1102" s="8" t="s">
        <v>1398</v>
      </c>
      <c r="G1102" s="12" t="s">
        <v>16608</v>
      </c>
      <c r="H1102" s="12">
        <v>1</v>
      </c>
      <c r="I1102" s="13" t="str">
        <f>HYPERLINK("http://www.ncbi.nlm.nih.gov/gene/93323", "93323")</f>
        <v>93323</v>
      </c>
      <c r="J1102" s="12" t="s">
        <v>16609</v>
      </c>
      <c r="K1102" s="12" t="s">
        <v>16610</v>
      </c>
      <c r="L1102" s="13" t="str">
        <f>HYPERLINK("http://asia.ensembl.org/Homo_sapiens/Gene/Summary?g=ENSG00000131351", "ENSG00000131351")</f>
        <v>ENSG00000131351</v>
      </c>
      <c r="M1102" s="12" t="s">
        <v>16611</v>
      </c>
      <c r="N1102" s="12" t="s">
        <v>16612</v>
      </c>
    </row>
    <row r="1103" spans="1:14">
      <c r="A1103" s="12" t="s">
        <v>3995</v>
      </c>
      <c r="B1103" s="8">
        <v>89002.441443438802</v>
      </c>
      <c r="C1103" s="12">
        <v>200213.29679895999</v>
      </c>
      <c r="D1103" s="8">
        <v>-1.16962097471597</v>
      </c>
      <c r="E1103" s="12">
        <v>2.7696794403290199E-3</v>
      </c>
      <c r="F1103" s="8" t="s">
        <v>3996</v>
      </c>
      <c r="G1103" s="12" t="s">
        <v>3997</v>
      </c>
      <c r="H1103" s="12">
        <v>1</v>
      </c>
      <c r="I1103" s="13" t="str">
        <f>HYPERLINK("http://www.ncbi.nlm.nih.gov/gene/113246", "113246")</f>
        <v>113246</v>
      </c>
      <c r="J1103" s="13" t="str">
        <f>HYPERLINK("http://www.ncbi.nlm.nih.gov/nuccore/NM_138425", "NM_138425")</f>
        <v>NM_138425</v>
      </c>
      <c r="K1103" s="12" t="s">
        <v>3998</v>
      </c>
      <c r="L1103" s="13" t="str">
        <f>HYPERLINK("http://asia.ensembl.org/Homo_sapiens/Gene/Summary?g=ENSG00000111678", "ENSG00000111678")</f>
        <v>ENSG00000111678</v>
      </c>
      <c r="M1103" s="12" t="s">
        <v>17511</v>
      </c>
      <c r="N1103" s="12" t="s">
        <v>17512</v>
      </c>
    </row>
    <row r="1104" spans="1:14">
      <c r="A1104" s="12" t="s">
        <v>4287</v>
      </c>
      <c r="B1104" s="8">
        <v>5150.0481726582802</v>
      </c>
      <c r="C1104" s="12">
        <v>11583.2379376961</v>
      </c>
      <c r="D1104" s="8">
        <v>-1.16938076342355</v>
      </c>
      <c r="E1104" s="12">
        <v>3.6647688043981198E-3</v>
      </c>
      <c r="F1104" s="8" t="s">
        <v>4288</v>
      </c>
      <c r="G1104" s="12" t="s">
        <v>17644</v>
      </c>
      <c r="H1104" s="12">
        <v>1</v>
      </c>
      <c r="I1104" s="13" t="str">
        <f>HYPERLINK("http://www.ncbi.nlm.nih.gov/gene/91608", "91608")</f>
        <v>91608</v>
      </c>
      <c r="J1104" s="13" t="str">
        <f>HYPERLINK("http://www.ncbi.nlm.nih.gov/nuccore/NM_033315", "NM_033315")</f>
        <v>NM_033315</v>
      </c>
      <c r="K1104" s="12" t="s">
        <v>4289</v>
      </c>
      <c r="L1104" s="13" t="str">
        <f>HYPERLINK("http://asia.ensembl.org/Homo_sapiens/Gene/Summary?g=ENSG00000270885", "ENSG00000270885")</f>
        <v>ENSG00000270885</v>
      </c>
      <c r="M1104" s="12" t="s">
        <v>17645</v>
      </c>
      <c r="N1104" s="12" t="s">
        <v>4290</v>
      </c>
    </row>
    <row r="1105" spans="1:14">
      <c r="A1105" s="12" t="s">
        <v>4212</v>
      </c>
      <c r="B1105" s="8">
        <v>4098.1227121980201</v>
      </c>
      <c r="C1105" s="12">
        <v>9214.6683666366607</v>
      </c>
      <c r="D1105" s="8">
        <v>-1.16896906023898</v>
      </c>
      <c r="E1105" s="12">
        <v>5.2502232334276904E-3</v>
      </c>
      <c r="F1105" s="8" t="s">
        <v>4213</v>
      </c>
      <c r="G1105" s="12" t="s">
        <v>4214</v>
      </c>
      <c r="H1105" s="12">
        <v>1</v>
      </c>
      <c r="I1105" s="13" t="str">
        <f>HYPERLINK("http://www.ncbi.nlm.nih.gov/gene/118460", "118460")</f>
        <v>118460</v>
      </c>
      <c r="J1105" s="13" t="str">
        <f>HYPERLINK("http://www.ncbi.nlm.nih.gov/nuccore/NM_058219", "NM_058219")</f>
        <v>NM_058219</v>
      </c>
      <c r="K1105" s="12" t="s">
        <v>4215</v>
      </c>
      <c r="L1105" s="13" t="str">
        <f>HYPERLINK("http://asia.ensembl.org/Homo_sapiens/Gene/Summary?g=ENSG00000223496", "ENSG00000223496")</f>
        <v>ENSG00000223496</v>
      </c>
      <c r="M1105" s="12" t="s">
        <v>4216</v>
      </c>
      <c r="N1105" s="12" t="s">
        <v>4217</v>
      </c>
    </row>
    <row r="1106" spans="1:14">
      <c r="A1106" s="12" t="s">
        <v>2986</v>
      </c>
      <c r="B1106" s="8">
        <v>302.511925158846</v>
      </c>
      <c r="C1106" s="12">
        <v>679.447234816849</v>
      </c>
      <c r="D1106" s="8">
        <v>-1.16736950190069</v>
      </c>
      <c r="E1106" s="12">
        <v>7.2283074216148097E-3</v>
      </c>
      <c r="F1106" s="8" t="s">
        <v>2987</v>
      </c>
      <c r="G1106" s="12" t="s">
        <v>2988</v>
      </c>
      <c r="H1106" s="12">
        <v>1</v>
      </c>
      <c r="I1106" s="13" t="str">
        <f>HYPERLINK("http://www.ncbi.nlm.nih.gov/gene/29844", "29844")</f>
        <v>29844</v>
      </c>
      <c r="J1106" s="13" t="str">
        <f>HYPERLINK("http://www.ncbi.nlm.nih.gov/nuccore/NM_013342", "NM_013342")</f>
        <v>NM_013342</v>
      </c>
      <c r="K1106" s="12" t="s">
        <v>2989</v>
      </c>
      <c r="L1106" s="13" t="str">
        <f>HYPERLINK("http://asia.ensembl.org/Homo_sapiens/Gene/Summary?g=ENSG00000105619", "ENSG00000105619")</f>
        <v>ENSG00000105619</v>
      </c>
      <c r="M1106" s="12" t="s">
        <v>17161</v>
      </c>
      <c r="N1106" s="12" t="s">
        <v>17162</v>
      </c>
    </row>
    <row r="1107" spans="1:14">
      <c r="A1107" s="12" t="s">
        <v>2718</v>
      </c>
      <c r="B1107" s="8">
        <v>178298.551336237</v>
      </c>
      <c r="C1107" s="12">
        <v>400397.88793172798</v>
      </c>
      <c r="D1107" s="8">
        <v>-1.1671393828776999</v>
      </c>
      <c r="E1107" s="12">
        <v>2.1059699439441401E-2</v>
      </c>
      <c r="F1107" s="8" t="s">
        <v>2719</v>
      </c>
      <c r="G1107" s="12" t="s">
        <v>2720</v>
      </c>
      <c r="H1107" s="12">
        <v>1</v>
      </c>
      <c r="I1107" s="13" t="str">
        <f>HYPERLINK("http://www.ncbi.nlm.nih.gov/gene/6132", "6132")</f>
        <v>6132</v>
      </c>
      <c r="J1107" s="12" t="s">
        <v>17093</v>
      </c>
      <c r="K1107" s="12" t="s">
        <v>17094</v>
      </c>
      <c r="L1107" s="13" t="str">
        <f>HYPERLINK("http://asia.ensembl.org/Homo_sapiens/Gene/Summary?g=ENSG00000161016", "ENSG00000161016")</f>
        <v>ENSG00000161016</v>
      </c>
      <c r="M1107" s="12" t="s">
        <v>17095</v>
      </c>
      <c r="N1107" s="12" t="s">
        <v>17096</v>
      </c>
    </row>
    <row r="1108" spans="1:14">
      <c r="A1108" s="12" t="s">
        <v>8718</v>
      </c>
      <c r="B1108" s="8">
        <v>16774.805868512001</v>
      </c>
      <c r="C1108" s="12">
        <v>37635.797429266102</v>
      </c>
      <c r="D1108" s="8">
        <v>-1.1658094691912599</v>
      </c>
      <c r="E1108" s="12">
        <v>3.38595202417737E-3</v>
      </c>
      <c r="F1108" s="8" t="s">
        <v>4121</v>
      </c>
      <c r="G1108" s="12" t="s">
        <v>17567</v>
      </c>
      <c r="H1108" s="12">
        <v>1</v>
      </c>
      <c r="I1108" s="13" t="str">
        <f>HYPERLINK("http://www.ncbi.nlm.nih.gov/gene/55845", "55845")</f>
        <v>55845</v>
      </c>
      <c r="J1108" s="13" t="str">
        <f>HYPERLINK("http://www.ncbi.nlm.nih.gov/nuccore/NM_018462", "NM_018462")</f>
        <v>NM_018462</v>
      </c>
      <c r="K1108" s="12" t="s">
        <v>4122</v>
      </c>
      <c r="L1108" s="13" t="str">
        <f>HYPERLINK("http://asia.ensembl.org/Homo_sapiens/Gene/Summary?g=ENSG00000254999", "ENSG00000254999")</f>
        <v>ENSG00000254999</v>
      </c>
      <c r="M1108" s="12" t="s">
        <v>4123</v>
      </c>
      <c r="N1108" s="12" t="s">
        <v>4124</v>
      </c>
    </row>
    <row r="1109" spans="1:14">
      <c r="A1109" s="12" t="s">
        <v>11659</v>
      </c>
      <c r="B1109" s="8">
        <v>344.36602285859698</v>
      </c>
      <c r="C1109" s="12">
        <v>772.443959036563</v>
      </c>
      <c r="D1109" s="8">
        <v>-1.16548746387182</v>
      </c>
      <c r="E1109" s="12">
        <v>1.66501859548779E-2</v>
      </c>
      <c r="F1109" s="8" t="s">
        <v>11660</v>
      </c>
      <c r="G1109" s="12" t="s">
        <v>11661</v>
      </c>
      <c r="H1109" s="12">
        <v>1</v>
      </c>
      <c r="I1109" s="13" t="str">
        <f>HYPERLINK("http://www.ncbi.nlm.nih.gov/gene/101927989", "101927989")</f>
        <v>101927989</v>
      </c>
      <c r="J1109" s="12" t="s">
        <v>20176</v>
      </c>
      <c r="K1109" s="12" t="s">
        <v>20177</v>
      </c>
      <c r="L1109" s="12" t="s">
        <v>38</v>
      </c>
      <c r="M1109" s="12" t="s">
        <v>38</v>
      </c>
      <c r="N1109" s="12" t="s">
        <v>38</v>
      </c>
    </row>
    <row r="1110" spans="1:14">
      <c r="A1110" s="12" t="s">
        <v>11142</v>
      </c>
      <c r="B1110" s="8">
        <v>8617.0139101170807</v>
      </c>
      <c r="C1110" s="12">
        <v>19323.252208066599</v>
      </c>
      <c r="D1110" s="8">
        <v>-1.16507801012117</v>
      </c>
      <c r="E1110" s="12">
        <v>5.9360836432631901E-3</v>
      </c>
      <c r="F1110" s="8" t="s">
        <v>1521</v>
      </c>
      <c r="G1110" s="12" t="s">
        <v>1522</v>
      </c>
      <c r="H1110" s="12">
        <v>1</v>
      </c>
      <c r="I1110" s="13" t="str">
        <f>HYPERLINK("http://www.ncbi.nlm.nih.gov/gene/203", "203")</f>
        <v>203</v>
      </c>
      <c r="J1110" s="13" t="str">
        <f>HYPERLINK("http://www.ncbi.nlm.nih.gov/nuccore/NM_000476", "NM_000476")</f>
        <v>NM_000476</v>
      </c>
      <c r="K1110" s="12" t="s">
        <v>1523</v>
      </c>
      <c r="L1110" s="13" t="str">
        <f>HYPERLINK("http://asia.ensembl.org/Homo_sapiens/Gene/Summary?g=ENSG00000106992", "ENSG00000106992")</f>
        <v>ENSG00000106992</v>
      </c>
      <c r="M1110" s="12" t="s">
        <v>16660</v>
      </c>
      <c r="N1110" s="12" t="s">
        <v>16661</v>
      </c>
    </row>
    <row r="1111" spans="1:14">
      <c r="A1111" s="12" t="s">
        <v>2883</v>
      </c>
      <c r="B1111" s="8">
        <v>36861.389147681897</v>
      </c>
      <c r="C1111" s="12">
        <v>82643.387706762602</v>
      </c>
      <c r="D1111" s="8">
        <v>-1.16478895319603</v>
      </c>
      <c r="E1111" s="12">
        <v>3.6925478673819701E-3</v>
      </c>
      <c r="F1111" s="8" t="s">
        <v>2884</v>
      </c>
      <c r="G1111" s="12" t="s">
        <v>286</v>
      </c>
      <c r="H1111" s="12">
        <v>1</v>
      </c>
      <c r="I1111" s="13" t="str">
        <f>HYPERLINK("http://www.ncbi.nlm.nih.gov/gene/4716", "4716")</f>
        <v>4716</v>
      </c>
      <c r="J1111" s="13" t="str">
        <f>HYPERLINK("http://www.ncbi.nlm.nih.gov/nuccore/NM_004548", "NM_004548")</f>
        <v>NM_004548</v>
      </c>
      <c r="K1111" s="12" t="s">
        <v>2885</v>
      </c>
      <c r="L1111" s="13" t="str">
        <f>HYPERLINK("http://asia.ensembl.org/Homo_sapiens/Gene/Summary?g=ENSG00000140990", "ENSG00000140990")</f>
        <v>ENSG00000140990</v>
      </c>
      <c r="M1111" s="12" t="s">
        <v>17125</v>
      </c>
      <c r="N1111" s="12" t="s">
        <v>17126</v>
      </c>
    </row>
    <row r="1112" spans="1:14">
      <c r="A1112" s="12" t="s">
        <v>8558</v>
      </c>
      <c r="B1112" s="8">
        <v>2539.8631545448702</v>
      </c>
      <c r="C1112" s="12">
        <v>5690.0522496657204</v>
      </c>
      <c r="D1112" s="8">
        <v>-1.1636911323030901</v>
      </c>
      <c r="E1112" s="12">
        <v>3.3190212394410799E-3</v>
      </c>
      <c r="F1112" s="8" t="s">
        <v>5802</v>
      </c>
      <c r="G1112" s="12" t="s">
        <v>5803</v>
      </c>
      <c r="H1112" s="12">
        <v>1</v>
      </c>
      <c r="I1112" s="13" t="str">
        <f>HYPERLINK("http://www.ncbi.nlm.nih.gov/gene/9570", "9570")</f>
        <v>9570</v>
      </c>
      <c r="J1112" s="13" t="str">
        <f>HYPERLINK("http://www.ncbi.nlm.nih.gov/nuccore/NM_054022", "NM_054022")</f>
        <v>NM_054022</v>
      </c>
      <c r="K1112" s="12" t="s">
        <v>8559</v>
      </c>
      <c r="L1112" s="13" t="str">
        <f>HYPERLINK("http://asia.ensembl.org/Homo_sapiens/Gene/Summary?g=ENSG00000108433", "ENSG00000108433")</f>
        <v>ENSG00000108433</v>
      </c>
      <c r="M1112" s="12" t="s">
        <v>18912</v>
      </c>
      <c r="N1112" s="12" t="s">
        <v>18913</v>
      </c>
    </row>
    <row r="1113" spans="1:14">
      <c r="A1113" s="12" t="s">
        <v>11053</v>
      </c>
      <c r="B1113" s="8">
        <v>53.824108340431202</v>
      </c>
      <c r="C1113" s="12">
        <v>120.54588391991</v>
      </c>
      <c r="D1113" s="8">
        <v>-1.16325797070461</v>
      </c>
      <c r="E1113" s="12">
        <v>4.0988868953027498E-3</v>
      </c>
      <c r="F1113" s="8" t="s">
        <v>11054</v>
      </c>
      <c r="G1113" s="12" t="s">
        <v>11055</v>
      </c>
      <c r="H1113" s="12">
        <v>1</v>
      </c>
      <c r="I1113" s="13" t="str">
        <f>HYPERLINK("http://www.ncbi.nlm.nih.gov/gene/353131", "353131")</f>
        <v>353131</v>
      </c>
      <c r="J1113" s="13" t="str">
        <f>HYPERLINK("http://www.ncbi.nlm.nih.gov/nuccore/NM_178348", "NM_178348")</f>
        <v>NM_178348</v>
      </c>
      <c r="K1113" s="12" t="s">
        <v>11056</v>
      </c>
      <c r="L1113" s="13" t="str">
        <f>HYPERLINK("http://asia.ensembl.org/Homo_sapiens/Gene/Summary?g=ENSG00000186844", "ENSG00000186844")</f>
        <v>ENSG00000186844</v>
      </c>
      <c r="M1113" s="12" t="s">
        <v>11057</v>
      </c>
      <c r="N1113" s="12" t="s">
        <v>11058</v>
      </c>
    </row>
    <row r="1114" spans="1:14">
      <c r="A1114" s="12" t="s">
        <v>8633</v>
      </c>
      <c r="B1114" s="8">
        <v>106.00606873530199</v>
      </c>
      <c r="C1114" s="12">
        <v>237.41347892844499</v>
      </c>
      <c r="D1114" s="8">
        <v>-1.16325498505028</v>
      </c>
      <c r="E1114" s="12">
        <v>7.2933003059261802E-3</v>
      </c>
      <c r="F1114" s="8" t="s">
        <v>6824</v>
      </c>
      <c r="G1114" s="12" t="s">
        <v>6825</v>
      </c>
      <c r="H1114" s="12">
        <v>1</v>
      </c>
      <c r="I1114" s="13" t="str">
        <f>HYPERLINK("http://www.ncbi.nlm.nih.gov/gene/65065", "65065")</f>
        <v>65065</v>
      </c>
      <c r="J1114" s="13" t="str">
        <f>HYPERLINK("http://www.ncbi.nlm.nih.gov/nuccore/NM_001114132", "NM_001114132")</f>
        <v>NM_001114132</v>
      </c>
      <c r="K1114" s="12" t="s">
        <v>6826</v>
      </c>
      <c r="L1114" s="13" t="str">
        <f>HYPERLINK("http://asia.ensembl.org/Homo_sapiens/Gene/Summary?g=ENSG00000144426", "ENSG00000144426")</f>
        <v>ENSG00000144426</v>
      </c>
      <c r="M1114" s="12" t="s">
        <v>18943</v>
      </c>
      <c r="N1114" s="12" t="s">
        <v>18944</v>
      </c>
    </row>
    <row r="1115" spans="1:14">
      <c r="A1115" s="12" t="s">
        <v>3977</v>
      </c>
      <c r="B1115" s="8">
        <v>23509.560950829</v>
      </c>
      <c r="C1115" s="12">
        <v>52649.9060443255</v>
      </c>
      <c r="D1115" s="8">
        <v>-1.16318336029714</v>
      </c>
      <c r="E1115" s="12">
        <v>4.5087955452506297E-3</v>
      </c>
      <c r="F1115" s="8" t="s">
        <v>3978</v>
      </c>
      <c r="G1115" s="12" t="s">
        <v>3979</v>
      </c>
      <c r="H1115" s="12">
        <v>1</v>
      </c>
      <c r="I1115" s="13" t="str">
        <f>HYPERLINK("http://www.ncbi.nlm.nih.gov/gene/1632", "1632")</f>
        <v>1632</v>
      </c>
      <c r="J1115" s="12" t="s">
        <v>17500</v>
      </c>
      <c r="K1115" s="12" t="s">
        <v>17501</v>
      </c>
      <c r="L1115" s="13" t="str">
        <f>HYPERLINK("http://asia.ensembl.org/Homo_sapiens/Gene/Summary?g=ENSG00000167969", "ENSG00000167969")</f>
        <v>ENSG00000167969</v>
      </c>
      <c r="M1115" s="12" t="s">
        <v>17502</v>
      </c>
      <c r="N1115" s="12" t="s">
        <v>17503</v>
      </c>
    </row>
    <row r="1116" spans="1:14">
      <c r="A1116" s="12" t="s">
        <v>11727</v>
      </c>
      <c r="B1116" s="8">
        <v>3329.7227639942998</v>
      </c>
      <c r="C1116" s="12">
        <v>7456.6516661498399</v>
      </c>
      <c r="D1116" s="8">
        <v>-1.16312588621918</v>
      </c>
      <c r="E1116" s="12">
        <v>3.5205108554456799E-2</v>
      </c>
      <c r="F1116" s="8" t="s">
        <v>38</v>
      </c>
      <c r="G1116" s="12" t="s">
        <v>38</v>
      </c>
      <c r="H1116" s="12">
        <v>1</v>
      </c>
      <c r="I1116" s="12" t="s">
        <v>38</v>
      </c>
      <c r="J1116" s="12" t="s">
        <v>38</v>
      </c>
      <c r="K1116" s="12" t="s">
        <v>38</v>
      </c>
      <c r="L1116" s="13" t="str">
        <f>HYPERLINK("http://asia.ensembl.org/Homo_sapiens/Gene/Summary?g=ENSG00000275193", "ENSG00000275193")</f>
        <v>ENSG00000275193</v>
      </c>
      <c r="M1116" s="12" t="s">
        <v>11728</v>
      </c>
    </row>
    <row r="1117" spans="1:14">
      <c r="A1117" s="12" t="s">
        <v>11635</v>
      </c>
      <c r="B1117" s="8">
        <v>89.796044129890802</v>
      </c>
      <c r="C1117" s="12">
        <v>201.07752932977201</v>
      </c>
      <c r="D1117" s="8">
        <v>-1.1630280725720601</v>
      </c>
      <c r="E1117" s="12">
        <v>1.6923315608750999E-2</v>
      </c>
      <c r="F1117" s="8" t="s">
        <v>11636</v>
      </c>
      <c r="G1117" s="12" t="s">
        <v>11637</v>
      </c>
      <c r="H1117" s="12">
        <v>1</v>
      </c>
      <c r="I1117" s="13" t="str">
        <f>HYPERLINK("http://www.ncbi.nlm.nih.gov/gene/4495", "4495")</f>
        <v>4495</v>
      </c>
      <c r="J1117" s="12" t="s">
        <v>20157</v>
      </c>
      <c r="K1117" s="12" t="s">
        <v>20158</v>
      </c>
      <c r="L1117" s="13" t="str">
        <f>HYPERLINK("http://asia.ensembl.org/Homo_sapiens/Gene/Summary?g=ENSG00000125144", "ENSG00000125144")</f>
        <v>ENSG00000125144</v>
      </c>
      <c r="M1117" s="12" t="s">
        <v>20159</v>
      </c>
      <c r="N1117" s="12" t="s">
        <v>20160</v>
      </c>
    </row>
    <row r="1118" spans="1:14">
      <c r="A1118" s="12" t="s">
        <v>9852</v>
      </c>
      <c r="B1118" s="8">
        <v>315.74051740274899</v>
      </c>
      <c r="C1118" s="12">
        <v>706.55460084063202</v>
      </c>
      <c r="D1118" s="8">
        <v>-1.1620616464953899</v>
      </c>
      <c r="E1118" s="12">
        <v>1.5565083710140201E-2</v>
      </c>
      <c r="F1118" s="8" t="s">
        <v>4771</v>
      </c>
      <c r="G1118" s="12" t="s">
        <v>4772</v>
      </c>
      <c r="H1118" s="12">
        <v>1</v>
      </c>
      <c r="I1118" s="13" t="str">
        <f>HYPERLINK("http://www.ncbi.nlm.nih.gov/gene/124540", "124540")</f>
        <v>124540</v>
      </c>
      <c r="J1118" s="13" t="str">
        <f>HYPERLINK("http://www.ncbi.nlm.nih.gov/nuccore/NM_138962", "NM_138962")</f>
        <v>NM_138962</v>
      </c>
      <c r="K1118" s="12" t="s">
        <v>9853</v>
      </c>
      <c r="L1118" s="13" t="str">
        <f>HYPERLINK("http://asia.ensembl.org/Homo_sapiens/Gene/Summary?g=ENSG00000153944", "ENSG00000153944")</f>
        <v>ENSG00000153944</v>
      </c>
      <c r="M1118" s="12" t="s">
        <v>19372</v>
      </c>
      <c r="N1118" s="12" t="s">
        <v>19373</v>
      </c>
    </row>
    <row r="1119" spans="1:14">
      <c r="A1119" s="12" t="s">
        <v>10585</v>
      </c>
      <c r="B1119" s="8">
        <v>8019.6115228770896</v>
      </c>
      <c r="C1119" s="12">
        <v>17944.923818216001</v>
      </c>
      <c r="D1119" s="8">
        <v>-1.16197154042468</v>
      </c>
      <c r="E1119" s="12">
        <v>2.98616287453773E-4</v>
      </c>
      <c r="F1119" s="8" t="s">
        <v>8954</v>
      </c>
      <c r="G1119" s="12" t="s">
        <v>8955</v>
      </c>
      <c r="H1119" s="12">
        <v>1</v>
      </c>
      <c r="I1119" s="13" t="str">
        <f>HYPERLINK("http://www.ncbi.nlm.nih.gov/gene/5589", "5589")</f>
        <v>5589</v>
      </c>
      <c r="J1119" s="12" t="s">
        <v>19785</v>
      </c>
      <c r="K1119" s="12" t="s">
        <v>19786</v>
      </c>
      <c r="L1119" s="13" t="str">
        <f>HYPERLINK("http://asia.ensembl.org/Homo_sapiens/Gene/Summary?g=ENSG00000130175", "ENSG00000130175")</f>
        <v>ENSG00000130175</v>
      </c>
      <c r="M1119" s="12" t="s">
        <v>19787</v>
      </c>
      <c r="N1119" s="12" t="s">
        <v>19788</v>
      </c>
    </row>
    <row r="1120" spans="1:14">
      <c r="A1120" s="12" t="s">
        <v>7902</v>
      </c>
      <c r="B1120" s="8">
        <v>19690.884596010401</v>
      </c>
      <c r="C1120" s="12">
        <v>44060.824316597304</v>
      </c>
      <c r="D1120" s="8">
        <v>-1.16196856157827</v>
      </c>
      <c r="E1120" s="12">
        <v>6.9582106535071298E-3</v>
      </c>
      <c r="F1120" s="8" t="s">
        <v>2938</v>
      </c>
      <c r="G1120" s="12" t="s">
        <v>104</v>
      </c>
      <c r="H1120" s="12">
        <v>1</v>
      </c>
      <c r="I1120" s="13" t="str">
        <f>HYPERLINK("http://www.ncbi.nlm.nih.gov/gene/5439", "5439")</f>
        <v>5439</v>
      </c>
      <c r="J1120" s="13" t="str">
        <f>HYPERLINK("http://www.ncbi.nlm.nih.gov/nuccore/NM_006234", "NM_006234")</f>
        <v>NM_006234</v>
      </c>
      <c r="K1120" s="12" t="s">
        <v>2939</v>
      </c>
      <c r="L1120" s="13" t="str">
        <f>HYPERLINK("http://asia.ensembl.org/Homo_sapiens/Gene/Summary?g=ENSG00000005075", "ENSG00000005075")</f>
        <v>ENSG00000005075</v>
      </c>
      <c r="M1120" s="12" t="s">
        <v>17142</v>
      </c>
      <c r="N1120" s="12" t="s">
        <v>17143</v>
      </c>
    </row>
    <row r="1121" spans="1:14">
      <c r="A1121" s="12" t="s">
        <v>10520</v>
      </c>
      <c r="B1121" s="8">
        <v>7372.31366185559</v>
      </c>
      <c r="C1121" s="12">
        <v>16494.043923511199</v>
      </c>
      <c r="D1121" s="8">
        <v>-1.1617557964029299</v>
      </c>
      <c r="E1121" s="12">
        <v>5.4731369570417097E-3</v>
      </c>
      <c r="F1121" s="8" t="s">
        <v>7574</v>
      </c>
      <c r="G1121" s="12" t="s">
        <v>7575</v>
      </c>
      <c r="H1121" s="12">
        <v>1</v>
      </c>
      <c r="I1121" s="13" t="str">
        <f>HYPERLINK("http://www.ncbi.nlm.nih.gov/gene/1508", "1508")</f>
        <v>1508</v>
      </c>
      <c r="J1121" s="12" t="s">
        <v>19764</v>
      </c>
      <c r="K1121" s="12" t="s">
        <v>19765</v>
      </c>
      <c r="L1121" s="13" t="str">
        <f>HYPERLINK("http://asia.ensembl.org/Homo_sapiens/Gene/Summary?g=ENSG00000164733", "ENSG00000164733")</f>
        <v>ENSG00000164733</v>
      </c>
      <c r="M1121" s="12" t="s">
        <v>19766</v>
      </c>
      <c r="N1121" s="12" t="s">
        <v>19767</v>
      </c>
    </row>
    <row r="1122" spans="1:14">
      <c r="A1122" s="12" t="s">
        <v>173</v>
      </c>
      <c r="B1122" s="8">
        <v>620.000733980375</v>
      </c>
      <c r="C1122" s="12">
        <v>1387.00647415195</v>
      </c>
      <c r="D1122" s="8">
        <v>-1.16163269323733</v>
      </c>
      <c r="E1122" s="12">
        <v>2.8886137190655602E-2</v>
      </c>
      <c r="F1122" s="8" t="s">
        <v>174</v>
      </c>
      <c r="G1122" s="12" t="s">
        <v>175</v>
      </c>
      <c r="H1122" s="12">
        <v>1</v>
      </c>
      <c r="I1122" s="13" t="str">
        <f>HYPERLINK("http://www.ncbi.nlm.nih.gov/gene/357", "357")</f>
        <v>357</v>
      </c>
      <c r="J1122" s="13" t="str">
        <f>HYPERLINK("http://www.ncbi.nlm.nih.gov/nuccore/NM_001649", "NM_001649")</f>
        <v>NM_001649</v>
      </c>
      <c r="K1122" s="12" t="s">
        <v>176</v>
      </c>
      <c r="L1122" s="13" t="str">
        <f>HYPERLINK("http://asia.ensembl.org/Homo_sapiens/Gene/Summary?g=ENSG00000146950", "ENSG00000146950")</f>
        <v>ENSG00000146950</v>
      </c>
      <c r="M1122" s="12" t="s">
        <v>16272</v>
      </c>
      <c r="N1122" s="12" t="s">
        <v>16273</v>
      </c>
    </row>
    <row r="1123" spans="1:14">
      <c r="A1123" s="12" t="s">
        <v>7921</v>
      </c>
      <c r="B1123" s="8">
        <v>15327.409596719701</v>
      </c>
      <c r="C1123" s="12">
        <v>34282.390932067297</v>
      </c>
      <c r="D1123" s="8">
        <v>-1.1613538343514</v>
      </c>
      <c r="E1123" s="12">
        <v>1.4207038574468099E-3</v>
      </c>
      <c r="F1123" s="8" t="s">
        <v>5623</v>
      </c>
      <c r="G1123" s="12" t="s">
        <v>5624</v>
      </c>
      <c r="H1123" s="12">
        <v>1</v>
      </c>
      <c r="I1123" s="13" t="str">
        <f>HYPERLINK("http://www.ncbi.nlm.nih.gov/gene/6183", "6183")</f>
        <v>6183</v>
      </c>
      <c r="J1123" s="12" t="s">
        <v>18666</v>
      </c>
      <c r="K1123" s="12" t="s">
        <v>18667</v>
      </c>
      <c r="L1123" s="13" t="str">
        <f>HYPERLINK("http://asia.ensembl.org/Homo_sapiens/Gene/Summary?g=ENSG00000128626", "ENSG00000128626")</f>
        <v>ENSG00000128626</v>
      </c>
      <c r="M1123" s="12" t="s">
        <v>18668</v>
      </c>
      <c r="N1123" s="12" t="s">
        <v>18669</v>
      </c>
    </row>
    <row r="1124" spans="1:14">
      <c r="A1124" s="12" t="s">
        <v>10897</v>
      </c>
      <c r="B1124" s="8">
        <v>299.205001818553</v>
      </c>
      <c r="C1124" s="12">
        <v>669.06438516253604</v>
      </c>
      <c r="D1124" s="8">
        <v>-1.16101075745462</v>
      </c>
      <c r="E1124" s="12">
        <v>3.2466429198229403E-2</v>
      </c>
      <c r="F1124" s="8" t="s">
        <v>10898</v>
      </c>
      <c r="G1124" s="12" t="s">
        <v>19892</v>
      </c>
      <c r="H1124" s="12">
        <v>1</v>
      </c>
      <c r="I1124" s="13" t="str">
        <f>HYPERLINK("http://www.ncbi.nlm.nih.gov/gene/3868", "3868")</f>
        <v>3868</v>
      </c>
      <c r="J1124" s="13" t="str">
        <f>HYPERLINK("http://www.ncbi.nlm.nih.gov/nuccore/NM_005557", "NM_005557")</f>
        <v>NM_005557</v>
      </c>
      <c r="K1124" s="12" t="s">
        <v>10899</v>
      </c>
      <c r="L1124" s="13" t="str">
        <f>HYPERLINK("http://asia.ensembl.org/Homo_sapiens/Gene/Summary?g=ENSG00000186832", "ENSG00000186832")</f>
        <v>ENSG00000186832</v>
      </c>
      <c r="M1124" s="12" t="s">
        <v>19893</v>
      </c>
      <c r="N1124" s="12" t="s">
        <v>19894</v>
      </c>
    </row>
    <row r="1125" spans="1:14">
      <c r="A1125" s="12" t="s">
        <v>2832</v>
      </c>
      <c r="B1125" s="8">
        <v>36594.181825612497</v>
      </c>
      <c r="C1125" s="12">
        <v>81829.683922003998</v>
      </c>
      <c r="D1125" s="8">
        <v>-1.16100998925895</v>
      </c>
      <c r="E1125" s="12">
        <v>8.2204101780720702E-3</v>
      </c>
      <c r="F1125" s="8" t="s">
        <v>2833</v>
      </c>
      <c r="G1125" s="12" t="s">
        <v>2834</v>
      </c>
      <c r="H1125" s="12">
        <v>1</v>
      </c>
      <c r="I1125" s="13" t="str">
        <f>HYPERLINK("http://www.ncbi.nlm.nih.gov/gene/10952", "10952")</f>
        <v>10952</v>
      </c>
      <c r="J1125" s="13" t="str">
        <f>HYPERLINK("http://www.ncbi.nlm.nih.gov/nuccore/NM_006808", "NM_006808")</f>
        <v>NM_006808</v>
      </c>
      <c r="K1125" s="12" t="s">
        <v>2835</v>
      </c>
      <c r="L1125" s="13" t="str">
        <f>HYPERLINK("http://asia.ensembl.org/Homo_sapiens/Gene/Summary?g=ENSG00000106803", "ENSG00000106803")</f>
        <v>ENSG00000106803</v>
      </c>
      <c r="M1125" s="12" t="s">
        <v>17120</v>
      </c>
      <c r="N1125" s="12" t="s">
        <v>17121</v>
      </c>
    </row>
    <row r="1126" spans="1:14">
      <c r="A1126" s="12" t="s">
        <v>932</v>
      </c>
      <c r="B1126" s="8">
        <v>4864.9320459322398</v>
      </c>
      <c r="C1126" s="12">
        <v>10878.4635584019</v>
      </c>
      <c r="D1126" s="8">
        <v>-1.1609832505626501</v>
      </c>
      <c r="E1126" s="12">
        <v>9.1262627068972599E-4</v>
      </c>
      <c r="F1126" s="8" t="s">
        <v>933</v>
      </c>
      <c r="G1126" s="12" t="s">
        <v>934</v>
      </c>
      <c r="H1126" s="12">
        <v>1</v>
      </c>
      <c r="I1126" s="13" t="str">
        <f>HYPERLINK("http://www.ncbi.nlm.nih.gov/gene/2954", "2954")</f>
        <v>2954</v>
      </c>
      <c r="J1126" s="12" t="s">
        <v>16469</v>
      </c>
      <c r="K1126" s="12" t="s">
        <v>16470</v>
      </c>
      <c r="L1126" s="13" t="str">
        <f>HYPERLINK("http://asia.ensembl.org/Homo_sapiens/Gene/Summary?g=ENSG00000100577", "ENSG00000100577")</f>
        <v>ENSG00000100577</v>
      </c>
      <c r="M1126" s="12" t="s">
        <v>16471</v>
      </c>
      <c r="N1126" s="12" t="s">
        <v>16472</v>
      </c>
    </row>
    <row r="1127" spans="1:14">
      <c r="A1127" s="12" t="s">
        <v>3732</v>
      </c>
      <c r="B1127" s="8">
        <v>39192.652957148501</v>
      </c>
      <c r="C1127" s="12">
        <v>87618.219426475494</v>
      </c>
      <c r="D1127" s="8">
        <v>-1.1606476640639301</v>
      </c>
      <c r="E1127" s="12">
        <v>6.41245017277812E-3</v>
      </c>
      <c r="F1127" s="8" t="s">
        <v>3733</v>
      </c>
      <c r="G1127" s="12" t="s">
        <v>147</v>
      </c>
      <c r="H1127" s="12">
        <v>1</v>
      </c>
      <c r="I1127" s="13" t="str">
        <f>HYPERLINK("http://www.ncbi.nlm.nih.gov/gene/293", "293")</f>
        <v>293</v>
      </c>
      <c r="J1127" s="13" t="str">
        <f>HYPERLINK("http://www.ncbi.nlm.nih.gov/nuccore/NM_001636", "NM_001636")</f>
        <v>NM_001636</v>
      </c>
      <c r="K1127" s="12" t="s">
        <v>3734</v>
      </c>
      <c r="L1127" s="13" t="str">
        <f>HYPERLINK("http://asia.ensembl.org/Homo_sapiens/Gene/Summary?g=ENSG00000169100", "ENSG00000169100")</f>
        <v>ENSG00000169100</v>
      </c>
      <c r="M1127" s="12" t="s">
        <v>17395</v>
      </c>
      <c r="N1127" s="12" t="s">
        <v>3735</v>
      </c>
    </row>
    <row r="1128" spans="1:14">
      <c r="A1128" s="12" t="s">
        <v>2015</v>
      </c>
      <c r="B1128" s="8">
        <v>346.55772933036297</v>
      </c>
      <c r="C1128" s="12">
        <v>774.35114600657903</v>
      </c>
      <c r="D1128" s="8">
        <v>-1.1598922400642999</v>
      </c>
      <c r="E1128" s="12">
        <v>1.4024891606778301E-2</v>
      </c>
      <c r="F1128" s="8" t="s">
        <v>2016</v>
      </c>
      <c r="G1128" s="12" t="s">
        <v>2017</v>
      </c>
      <c r="H1128" s="12">
        <v>1</v>
      </c>
      <c r="I1128" s="13" t="str">
        <f>HYPERLINK("http://www.ncbi.nlm.nih.gov/gene/339479", "339479")</f>
        <v>339479</v>
      </c>
      <c r="J1128" s="13" t="str">
        <f>HYPERLINK("http://www.ncbi.nlm.nih.gov/nuccore/NM_199051", "NM_199051")</f>
        <v>NM_199051</v>
      </c>
      <c r="K1128" s="12" t="s">
        <v>2018</v>
      </c>
      <c r="L1128" s="13" t="str">
        <f>HYPERLINK("http://asia.ensembl.org/Homo_sapiens/Gene/Summary?g=ENSG00000162670", "ENSG00000162670")</f>
        <v>ENSG00000162670</v>
      </c>
      <c r="M1128" s="12" t="s">
        <v>16879</v>
      </c>
      <c r="N1128" s="12" t="s">
        <v>16880</v>
      </c>
    </row>
    <row r="1129" spans="1:14">
      <c r="A1129" s="12" t="s">
        <v>9156</v>
      </c>
      <c r="B1129" s="8">
        <v>9595.2966965706601</v>
      </c>
      <c r="C1129" s="12">
        <v>21437.3445400124</v>
      </c>
      <c r="D1129" s="8">
        <v>-1.15972688728685</v>
      </c>
      <c r="E1129" s="12">
        <v>1.18647603539175E-3</v>
      </c>
      <c r="F1129" s="8" t="s">
        <v>9157</v>
      </c>
      <c r="G1129" s="12" t="s">
        <v>19079</v>
      </c>
      <c r="H1129" s="12">
        <v>1</v>
      </c>
      <c r="I1129" s="13" t="str">
        <f>HYPERLINK("http://www.ncbi.nlm.nih.gov/gene/22936", "22936")</f>
        <v>22936</v>
      </c>
      <c r="J1129" s="13" t="str">
        <f>HYPERLINK("http://www.ncbi.nlm.nih.gov/nuccore/NM_012081", "NM_012081")</f>
        <v>NM_012081</v>
      </c>
      <c r="K1129" s="12" t="s">
        <v>9158</v>
      </c>
      <c r="L1129" s="13" t="str">
        <f>HYPERLINK("http://asia.ensembl.org/Homo_sapiens/Gene/Summary?g=ENSG00000118985", "ENSG00000118985")</f>
        <v>ENSG00000118985</v>
      </c>
      <c r="M1129" s="12" t="s">
        <v>19080</v>
      </c>
      <c r="N1129" s="12" t="s">
        <v>19081</v>
      </c>
    </row>
    <row r="1130" spans="1:14">
      <c r="A1130" s="12" t="s">
        <v>7529</v>
      </c>
      <c r="B1130" s="8">
        <v>5077.5109290972896</v>
      </c>
      <c r="C1130" s="12">
        <v>11339.1488523633</v>
      </c>
      <c r="D1130" s="8">
        <v>-1.15911900672574</v>
      </c>
      <c r="E1130" s="12">
        <v>1.9301521184261199E-3</v>
      </c>
      <c r="F1130" s="8" t="s">
        <v>7530</v>
      </c>
      <c r="G1130" s="12" t="s">
        <v>7531</v>
      </c>
      <c r="H1130" s="12">
        <v>1</v>
      </c>
      <c r="I1130" s="13" t="str">
        <f>HYPERLINK("http://www.ncbi.nlm.nih.gov/gene/375757", "375757")</f>
        <v>375757</v>
      </c>
      <c r="J1130" s="13" t="str">
        <f>HYPERLINK("http://www.ncbi.nlm.nih.gov/nuccore/NM_001040011", "NM_001040011")</f>
        <v>NM_001040011</v>
      </c>
      <c r="K1130" s="12" t="s">
        <v>7532</v>
      </c>
      <c r="L1130" s="13" t="str">
        <f>HYPERLINK("http://asia.ensembl.org/Homo_sapiens/Gene/Summary?g=ENSG00000175854", "ENSG00000175854")</f>
        <v>ENSG00000175854</v>
      </c>
      <c r="M1130" s="12" t="s">
        <v>18559</v>
      </c>
      <c r="N1130" s="12" t="s">
        <v>18560</v>
      </c>
    </row>
    <row r="1131" spans="1:14">
      <c r="A1131" s="12" t="s">
        <v>11360</v>
      </c>
      <c r="B1131" s="8">
        <v>19409.804842664002</v>
      </c>
      <c r="C1131" s="12">
        <v>43331.860887360301</v>
      </c>
      <c r="D1131" s="8">
        <v>-1.15864258205931</v>
      </c>
      <c r="E1131" s="12">
        <v>1.0803128614227501E-2</v>
      </c>
      <c r="F1131" s="8" t="s">
        <v>8998</v>
      </c>
      <c r="G1131" s="12" t="s">
        <v>8999</v>
      </c>
      <c r="H1131" s="12">
        <v>1</v>
      </c>
      <c r="I1131" s="13" t="str">
        <f>HYPERLINK("http://www.ncbi.nlm.nih.gov/gene/29944", "29944")</f>
        <v>29944</v>
      </c>
      <c r="J1131" s="13" t="str">
        <f>HYPERLINK("http://www.ncbi.nlm.nih.gov/nuccore/NM_013364", "NM_013364")</f>
        <v>NM_013364</v>
      </c>
      <c r="K1131" s="12" t="s">
        <v>9000</v>
      </c>
      <c r="L1131" s="13" t="str">
        <f>HYPERLINK("http://asia.ensembl.org/Homo_sapiens/Gene/Summary?g=ENSG00000183837", "ENSG00000183837")</f>
        <v>ENSG00000183837</v>
      </c>
      <c r="M1131" s="12" t="s">
        <v>20086</v>
      </c>
      <c r="N1131" s="12" t="s">
        <v>20087</v>
      </c>
    </row>
    <row r="1132" spans="1:14">
      <c r="A1132" s="12" t="s">
        <v>486</v>
      </c>
      <c r="B1132" s="8">
        <v>4862.2202758023404</v>
      </c>
      <c r="C1132" s="12">
        <v>10852.911918001</v>
      </c>
      <c r="D1132" s="8">
        <v>-1.15839502139675</v>
      </c>
      <c r="E1132" s="12">
        <v>1.7627897065885E-3</v>
      </c>
      <c r="F1132" s="8" t="s">
        <v>487</v>
      </c>
      <c r="G1132" s="12" t="s">
        <v>488</v>
      </c>
      <c r="H1132" s="12">
        <v>1</v>
      </c>
      <c r="I1132" s="13" t="str">
        <f>HYPERLINK("http://www.ncbi.nlm.nih.gov/gene/83549", "83549")</f>
        <v>83549</v>
      </c>
      <c r="J1132" s="12" t="s">
        <v>16341</v>
      </c>
      <c r="K1132" s="12" t="s">
        <v>16342</v>
      </c>
      <c r="L1132" s="13" t="str">
        <f>HYPERLINK("http://asia.ensembl.org/Homo_sapiens/Gene/Summary?g=ENSG00000130717", "ENSG00000130717")</f>
        <v>ENSG00000130717</v>
      </c>
      <c r="M1132" s="12" t="s">
        <v>16343</v>
      </c>
      <c r="N1132" s="12" t="s">
        <v>16344</v>
      </c>
    </row>
    <row r="1133" spans="1:14">
      <c r="A1133" s="12" t="s">
        <v>3060</v>
      </c>
      <c r="B1133" s="8">
        <v>75.722673152919299</v>
      </c>
      <c r="C1133" s="12">
        <v>169.01426961219099</v>
      </c>
      <c r="D1133" s="8">
        <v>-1.15834780924624</v>
      </c>
      <c r="E1133" s="12">
        <v>2.1875167411148401E-2</v>
      </c>
      <c r="F1133" s="8" t="s">
        <v>3061</v>
      </c>
      <c r="G1133" s="12" t="s">
        <v>3062</v>
      </c>
      <c r="H1133" s="12">
        <v>1</v>
      </c>
      <c r="I1133" s="13" t="str">
        <f>HYPERLINK("http://www.ncbi.nlm.nih.gov/gene/23430", "23430")</f>
        <v>23430</v>
      </c>
      <c r="J1133" s="13" t="str">
        <f>HYPERLINK("http://www.ncbi.nlm.nih.gov/nuccore/NM_012217", "NM_012217")</f>
        <v>NM_012217</v>
      </c>
      <c r="K1133" s="12" t="s">
        <v>3063</v>
      </c>
      <c r="L1133" s="13" t="str">
        <f>HYPERLINK("http://asia.ensembl.org/Homo_sapiens/Gene/Summary?g=ENSG00000095917", "ENSG00000095917")</f>
        <v>ENSG00000095917</v>
      </c>
      <c r="M1133" s="12" t="s">
        <v>17192</v>
      </c>
      <c r="N1133" s="12" t="s">
        <v>17193</v>
      </c>
    </row>
    <row r="1134" spans="1:14">
      <c r="A1134" s="12" t="s">
        <v>8650</v>
      </c>
      <c r="B1134" s="8">
        <v>453.942858849088</v>
      </c>
      <c r="C1134" s="12">
        <v>1012.96348391903</v>
      </c>
      <c r="D1134" s="8">
        <v>-1.1579995563602601</v>
      </c>
      <c r="E1134" s="12">
        <v>3.8658614670684598E-3</v>
      </c>
      <c r="F1134" s="8" t="s">
        <v>8651</v>
      </c>
      <c r="G1134" s="12" t="s">
        <v>8652</v>
      </c>
      <c r="H1134" s="12">
        <v>1</v>
      </c>
      <c r="I1134" s="13" t="str">
        <f>HYPERLINK("http://www.ncbi.nlm.nih.gov/gene/200058", "200058")</f>
        <v>200058</v>
      </c>
      <c r="J1134" s="13" t="str">
        <f>HYPERLINK("http://www.ncbi.nlm.nih.gov/nuccore/NR_026900", "NR_026900")</f>
        <v>NR_026900</v>
      </c>
      <c r="K1134" s="12" t="s">
        <v>199</v>
      </c>
      <c r="L1134" s="12" t="s">
        <v>38</v>
      </c>
      <c r="M1134" s="12" t="s">
        <v>38</v>
      </c>
      <c r="N1134" s="12" t="s">
        <v>38</v>
      </c>
    </row>
    <row r="1135" spans="1:14">
      <c r="A1135" s="12" t="s">
        <v>2770</v>
      </c>
      <c r="B1135" s="8">
        <v>3410.1294305697802</v>
      </c>
      <c r="C1135" s="12">
        <v>7609.5908391767898</v>
      </c>
      <c r="D1135" s="8">
        <v>-1.1579923860043499</v>
      </c>
      <c r="E1135" s="12">
        <v>3.4453790288181E-3</v>
      </c>
      <c r="F1135" s="8" t="s">
        <v>2771</v>
      </c>
      <c r="G1135" s="12" t="s">
        <v>2772</v>
      </c>
      <c r="H1135" s="12">
        <v>1</v>
      </c>
      <c r="I1135" s="13" t="str">
        <f>HYPERLINK("http://www.ncbi.nlm.nih.gov/gene/83451", "83451")</f>
        <v>83451</v>
      </c>
      <c r="J1135" s="12" t="s">
        <v>17106</v>
      </c>
      <c r="K1135" s="12" t="s">
        <v>17107</v>
      </c>
      <c r="L1135" s="13" t="str">
        <f>HYPERLINK("http://asia.ensembl.org/Homo_sapiens/Gene/Summary?g=ENSG00000106077", "ENSG00000106077")</f>
        <v>ENSG00000106077</v>
      </c>
      <c r="M1135" s="12" t="s">
        <v>17108</v>
      </c>
      <c r="N1135" s="12" t="s">
        <v>17109</v>
      </c>
    </row>
    <row r="1136" spans="1:14">
      <c r="A1136" s="12" t="s">
        <v>6112</v>
      </c>
      <c r="B1136" s="8">
        <v>884.52518491431704</v>
      </c>
      <c r="C1136" s="12">
        <v>1972.9985546350599</v>
      </c>
      <c r="D1136" s="8">
        <v>-1.1574147729930799</v>
      </c>
      <c r="E1136" s="12">
        <v>3.5250001589502101E-3</v>
      </c>
      <c r="F1136" s="8" t="s">
        <v>6113</v>
      </c>
      <c r="G1136" s="12" t="s">
        <v>15570</v>
      </c>
      <c r="H1136" s="12">
        <v>1</v>
      </c>
      <c r="I1136" s="13" t="str">
        <f>HYPERLINK("http://www.ncbi.nlm.nih.gov/gene/84262", "84262")</f>
        <v>84262</v>
      </c>
      <c r="J1136" s="12" t="s">
        <v>18056</v>
      </c>
      <c r="K1136" s="12" t="s">
        <v>18057</v>
      </c>
      <c r="L1136" s="13" t="str">
        <f>HYPERLINK("http://asia.ensembl.org/Homo_sapiens/Gene/Summary?g=ENSG00000157778", "ENSG00000157778")</f>
        <v>ENSG00000157778</v>
      </c>
      <c r="M1136" s="12" t="s">
        <v>18058</v>
      </c>
      <c r="N1136" s="12" t="s">
        <v>18059</v>
      </c>
    </row>
    <row r="1137" spans="1:14">
      <c r="A1137" s="12" t="s">
        <v>9039</v>
      </c>
      <c r="B1137" s="8">
        <v>48122.4353553619</v>
      </c>
      <c r="C1137" s="12">
        <v>107319.945300434</v>
      </c>
      <c r="D1137" s="8">
        <v>-1.15713666374868</v>
      </c>
      <c r="E1137" s="12">
        <v>3.7295803059621498E-3</v>
      </c>
      <c r="F1137" s="8" t="s">
        <v>9040</v>
      </c>
      <c r="G1137" s="12" t="s">
        <v>9041</v>
      </c>
      <c r="H1137" s="12">
        <v>1</v>
      </c>
      <c r="I1137" s="13" t="str">
        <f>HYPERLINK("http://www.ncbi.nlm.nih.gov/gene/54939", "54939")</f>
        <v>54939</v>
      </c>
      <c r="J1137" s="13" t="str">
        <f>HYPERLINK("http://www.ncbi.nlm.nih.gov/nuccore/NM_017828", "NM_017828")</f>
        <v>NM_017828</v>
      </c>
      <c r="K1137" s="12" t="s">
        <v>9042</v>
      </c>
      <c r="L1137" s="13" t="str">
        <f>HYPERLINK("http://asia.ensembl.org/Homo_sapiens/Gene/Summary?g=ENSG00000140365", "ENSG00000140365")</f>
        <v>ENSG00000140365</v>
      </c>
      <c r="M1137" s="12" t="s">
        <v>19047</v>
      </c>
      <c r="N1137" s="12" t="s">
        <v>13083</v>
      </c>
    </row>
    <row r="1138" spans="1:14">
      <c r="A1138" s="12" t="s">
        <v>7399</v>
      </c>
      <c r="B1138" s="8">
        <v>825.4571701223</v>
      </c>
      <c r="C1138" s="12">
        <v>1840.8875906201899</v>
      </c>
      <c r="D1138" s="8">
        <v>-1.1571362685128599</v>
      </c>
      <c r="E1138" s="12">
        <v>7.6591327535115699E-3</v>
      </c>
      <c r="F1138" s="8" t="s">
        <v>7400</v>
      </c>
      <c r="G1138" s="12" t="s">
        <v>7401</v>
      </c>
      <c r="H1138" s="12">
        <v>1</v>
      </c>
      <c r="I1138" s="13" t="str">
        <f>HYPERLINK("http://www.ncbi.nlm.nih.gov/gene/54873", "54873")</f>
        <v>54873</v>
      </c>
      <c r="J1138" s="13" t="str">
        <f>HYPERLINK("http://www.ncbi.nlm.nih.gov/nuccore/NM_017734", "NM_017734")</f>
        <v>NM_017734</v>
      </c>
      <c r="K1138" s="12" t="s">
        <v>7402</v>
      </c>
      <c r="L1138" s="13" t="str">
        <f>HYPERLINK("http://asia.ensembl.org/Homo_sapiens/Gene/Summary?g=ENSG00000099260", "ENSG00000099260")</f>
        <v>ENSG00000099260</v>
      </c>
      <c r="M1138" s="12" t="s">
        <v>18510</v>
      </c>
      <c r="N1138" s="12" t="s">
        <v>18511</v>
      </c>
    </row>
    <row r="1139" spans="1:14">
      <c r="A1139" s="12" t="s">
        <v>6805</v>
      </c>
      <c r="B1139" s="8">
        <v>622.75635342908799</v>
      </c>
      <c r="C1139" s="12">
        <v>1388.75873996524</v>
      </c>
      <c r="D1139" s="8">
        <v>-1.15705625086104</v>
      </c>
      <c r="E1139" s="12">
        <v>2.39366700732601E-2</v>
      </c>
      <c r="F1139" s="8" t="s">
        <v>6806</v>
      </c>
      <c r="G1139" s="12" t="s">
        <v>6807</v>
      </c>
      <c r="H1139" s="12">
        <v>1</v>
      </c>
      <c r="I1139" s="13" t="str">
        <f>HYPERLINK("http://www.ncbi.nlm.nih.gov/gene/79955", "79955")</f>
        <v>79955</v>
      </c>
      <c r="J1139" s="13" t="str">
        <f>HYPERLINK("http://www.ncbi.nlm.nih.gov/nuccore/NM_024895", "NM_024895")</f>
        <v>NM_024895</v>
      </c>
      <c r="K1139" s="12" t="s">
        <v>6808</v>
      </c>
      <c r="L1139" s="13" t="str">
        <f>HYPERLINK("http://asia.ensembl.org/Homo_sapiens/Gene/Summary?g=ENSG00000186862", "ENSG00000186862")</f>
        <v>ENSG00000186862</v>
      </c>
      <c r="M1139" s="12" t="s">
        <v>18269</v>
      </c>
      <c r="N1139" s="12" t="s">
        <v>18270</v>
      </c>
    </row>
    <row r="1140" spans="1:14">
      <c r="A1140" s="12" t="s">
        <v>4695</v>
      </c>
      <c r="B1140" s="8">
        <v>2933.8142347294302</v>
      </c>
      <c r="C1140" s="12">
        <v>6540.4477268924502</v>
      </c>
      <c r="D1140" s="8">
        <v>-1.15661187456779</v>
      </c>
      <c r="E1140" s="12">
        <v>1.0941955050913E-3</v>
      </c>
      <c r="F1140" s="8" t="s">
        <v>4696</v>
      </c>
      <c r="G1140" s="12" t="s">
        <v>4697</v>
      </c>
      <c r="H1140" s="12">
        <v>1</v>
      </c>
      <c r="I1140" s="13" t="str">
        <f>HYPERLINK("http://www.ncbi.nlm.nih.gov/gene/79078", "79078")</f>
        <v>79078</v>
      </c>
      <c r="J1140" s="12" t="s">
        <v>17732</v>
      </c>
      <c r="K1140" s="12" t="s">
        <v>17733</v>
      </c>
      <c r="L1140" s="13" t="str">
        <f>HYPERLINK("http://asia.ensembl.org/Homo_sapiens/Gene/Summary?g=ENSG00000164008", "ENSG00000164008")</f>
        <v>ENSG00000164008</v>
      </c>
      <c r="M1140" s="12" t="s">
        <v>17734</v>
      </c>
      <c r="N1140" s="12" t="s">
        <v>17735</v>
      </c>
    </row>
    <row r="1141" spans="1:14">
      <c r="A1141" s="12" t="s">
        <v>10152</v>
      </c>
      <c r="B1141" s="8">
        <v>22776.198654545002</v>
      </c>
      <c r="C1141" s="12">
        <v>50763.961511431597</v>
      </c>
      <c r="D1141" s="8">
        <v>-1.15627767695224</v>
      </c>
      <c r="E1141" s="12">
        <v>8.9351084201312707E-3</v>
      </c>
      <c r="F1141" s="8" t="s">
        <v>9769</v>
      </c>
      <c r="G1141" s="12" t="s">
        <v>9770</v>
      </c>
      <c r="H1141" s="12">
        <v>1</v>
      </c>
      <c r="I1141" s="13" t="str">
        <f>HYPERLINK("http://www.ncbi.nlm.nih.gov/gene/6473", "6473")</f>
        <v>6473</v>
      </c>
      <c r="J1141" s="13" t="str">
        <f>HYPERLINK("http://www.ncbi.nlm.nih.gov/nuccore/NM_006883", "NM_006883")</f>
        <v>NM_006883</v>
      </c>
      <c r="K1141" s="12" t="s">
        <v>10153</v>
      </c>
      <c r="L1141" s="13" t="str">
        <f>HYPERLINK("http://asia.ensembl.org/Homo_sapiens/Gene/Summary?g=ENSG00000185960", "ENSG00000185960")</f>
        <v>ENSG00000185960</v>
      </c>
      <c r="M1141" s="12" t="s">
        <v>19563</v>
      </c>
      <c r="N1141" s="12" t="s">
        <v>19564</v>
      </c>
    </row>
    <row r="1142" spans="1:14">
      <c r="A1142" s="12" t="s">
        <v>9574</v>
      </c>
      <c r="B1142" s="8">
        <v>18491.629703293798</v>
      </c>
      <c r="C1142" s="12">
        <v>41214.087593876997</v>
      </c>
      <c r="D1142" s="8">
        <v>-1.1562651786665099</v>
      </c>
      <c r="E1142" s="12">
        <v>6.1433172249988604E-3</v>
      </c>
      <c r="F1142" s="8" t="s">
        <v>9575</v>
      </c>
      <c r="G1142" s="12" t="s">
        <v>9576</v>
      </c>
      <c r="H1142" s="12">
        <v>1</v>
      </c>
      <c r="I1142" s="13" t="str">
        <f>HYPERLINK("http://www.ncbi.nlm.nih.gov/gene/10465", "10465")</f>
        <v>10465</v>
      </c>
      <c r="J1142" s="13" t="str">
        <f>HYPERLINK("http://www.ncbi.nlm.nih.gov/nuccore/NM_006347", "NM_006347")</f>
        <v>NM_006347</v>
      </c>
      <c r="K1142" s="12" t="s">
        <v>9577</v>
      </c>
      <c r="L1142" s="13" t="str">
        <f>HYPERLINK("http://asia.ensembl.org/Homo_sapiens/Gene/Summary?g=ENSG00000171960", "ENSG00000171960")</f>
        <v>ENSG00000171960</v>
      </c>
      <c r="M1142" s="12" t="s">
        <v>19199</v>
      </c>
      <c r="N1142" s="12" t="s">
        <v>19200</v>
      </c>
    </row>
    <row r="1143" spans="1:14">
      <c r="A1143" s="12" t="s">
        <v>67</v>
      </c>
      <c r="B1143" s="8">
        <v>2220.4441064795301</v>
      </c>
      <c r="C1143" s="12">
        <v>4948.4247639641899</v>
      </c>
      <c r="D1143" s="8">
        <v>-1.1561210880844699</v>
      </c>
      <c r="E1143" s="12">
        <v>2.4672496973861101E-3</v>
      </c>
      <c r="F1143" s="8" t="s">
        <v>68</v>
      </c>
      <c r="G1143" s="12" t="s">
        <v>69</v>
      </c>
      <c r="H1143" s="12">
        <v>1</v>
      </c>
      <c r="I1143" s="13" t="str">
        <f>HYPERLINK("http://www.ncbi.nlm.nih.gov/gene/5595", "5595")</f>
        <v>5595</v>
      </c>
      <c r="J1143" s="12" t="s">
        <v>16238</v>
      </c>
      <c r="K1143" s="12" t="s">
        <v>16239</v>
      </c>
      <c r="L1143" s="13" t="str">
        <f>HYPERLINK("http://asia.ensembl.org/Homo_sapiens/Gene/Summary?g=ENSG00000102882", "ENSG00000102882")</f>
        <v>ENSG00000102882</v>
      </c>
      <c r="M1143" s="12" t="s">
        <v>16240</v>
      </c>
      <c r="N1143" s="12" t="s">
        <v>16241</v>
      </c>
    </row>
    <row r="1144" spans="1:14">
      <c r="A1144" s="12" t="s">
        <v>4173</v>
      </c>
      <c r="B1144" s="8">
        <v>2831.6820086995999</v>
      </c>
      <c r="C1144" s="12">
        <v>6309.8498189354896</v>
      </c>
      <c r="D1144" s="8">
        <v>-1.1559464047356101</v>
      </c>
      <c r="E1144" s="12">
        <v>2.0899818664057599E-3</v>
      </c>
      <c r="F1144" s="8" t="s">
        <v>4174</v>
      </c>
      <c r="G1144" s="12" t="s">
        <v>4175</v>
      </c>
      <c r="H1144" s="12">
        <v>1</v>
      </c>
      <c r="I1144" s="13" t="str">
        <f>HYPERLINK("http://www.ncbi.nlm.nih.gov/gene/27344", "27344")</f>
        <v>27344</v>
      </c>
      <c r="J1144" s="13" t="str">
        <f>HYPERLINK("http://www.ncbi.nlm.nih.gov/nuccore/NM_013271", "NM_013271")</f>
        <v>NM_013271</v>
      </c>
      <c r="K1144" s="12" t="s">
        <v>4176</v>
      </c>
      <c r="L1144" s="13" t="str">
        <f>HYPERLINK("http://asia.ensembl.org/Homo_sapiens/Gene/Summary?g=ENSG00000102109", "ENSG00000102109")</f>
        <v>ENSG00000102109</v>
      </c>
      <c r="M1144" s="12" t="s">
        <v>17601</v>
      </c>
      <c r="N1144" s="12" t="s">
        <v>4177</v>
      </c>
    </row>
    <row r="1145" spans="1:14">
      <c r="A1145" s="12" t="s">
        <v>7305</v>
      </c>
      <c r="B1145" s="8">
        <v>86000.213669232005</v>
      </c>
      <c r="C1145" s="12">
        <v>191611.49589087599</v>
      </c>
      <c r="D1145" s="8">
        <v>-1.15577197002198</v>
      </c>
      <c r="E1145" s="12">
        <v>3.1340387923900499E-3</v>
      </c>
      <c r="F1145" s="8" t="s">
        <v>7306</v>
      </c>
      <c r="G1145" s="12" t="s">
        <v>7307</v>
      </c>
      <c r="H1145" s="12">
        <v>1</v>
      </c>
      <c r="I1145" s="13" t="str">
        <f>HYPERLINK("http://www.ncbi.nlm.nih.gov/gene/6207", "6207")</f>
        <v>6207</v>
      </c>
      <c r="J1145" s="13" t="str">
        <f>HYPERLINK("http://www.ncbi.nlm.nih.gov/nuccore/NM_001017", "NM_001017")</f>
        <v>NM_001017</v>
      </c>
      <c r="K1145" s="12" t="s">
        <v>7308</v>
      </c>
      <c r="L1145" s="13" t="str">
        <f>HYPERLINK("http://asia.ensembl.org/Homo_sapiens/Gene/Summary?g=ENSG00000110700", "ENSG00000110700")</f>
        <v>ENSG00000110700</v>
      </c>
      <c r="M1145" s="12" t="s">
        <v>18475</v>
      </c>
      <c r="N1145" s="12" t="s">
        <v>18476</v>
      </c>
    </row>
    <row r="1146" spans="1:14">
      <c r="A1146" s="12" t="s">
        <v>10455</v>
      </c>
      <c r="B1146" s="8">
        <v>6716.6749445954802</v>
      </c>
      <c r="C1146" s="12">
        <v>14963.5172460993</v>
      </c>
      <c r="D1146" s="8">
        <v>-1.15563021136259</v>
      </c>
      <c r="E1146" s="12">
        <v>8.0348588864958496E-3</v>
      </c>
      <c r="F1146" s="8" t="s">
        <v>10456</v>
      </c>
      <c r="G1146" s="12" t="s">
        <v>10457</v>
      </c>
      <c r="H1146" s="12">
        <v>4</v>
      </c>
      <c r="I1146" s="12" t="s">
        <v>10458</v>
      </c>
      <c r="J1146" s="12" t="s">
        <v>10459</v>
      </c>
      <c r="K1146" s="12" t="s">
        <v>6413</v>
      </c>
    </row>
    <row r="1147" spans="1:14">
      <c r="A1147" s="12" t="s">
        <v>7567</v>
      </c>
      <c r="B1147" s="8">
        <v>148.774142957978</v>
      </c>
      <c r="C1147" s="12">
        <v>331.40605331970897</v>
      </c>
      <c r="D1147" s="8">
        <v>-1.15547614753988</v>
      </c>
      <c r="E1147" s="12">
        <v>2.3582864442971002E-3</v>
      </c>
      <c r="F1147" s="8" t="s">
        <v>7568</v>
      </c>
      <c r="G1147" s="12" t="s">
        <v>7569</v>
      </c>
      <c r="H1147" s="12">
        <v>1</v>
      </c>
      <c r="I1147" s="13" t="str">
        <f>HYPERLINK("http://www.ncbi.nlm.nih.gov/gene/388780", "388780")</f>
        <v>388780</v>
      </c>
      <c r="J1147" s="12" t="s">
        <v>18573</v>
      </c>
      <c r="K1147" s="12" t="s">
        <v>18574</v>
      </c>
      <c r="L1147" s="12" t="s">
        <v>38</v>
      </c>
      <c r="M1147" s="12" t="s">
        <v>38</v>
      </c>
      <c r="N1147" s="12" t="s">
        <v>38</v>
      </c>
    </row>
    <row r="1148" spans="1:14">
      <c r="A1148" s="12" t="s">
        <v>10427</v>
      </c>
      <c r="B1148" s="8">
        <v>359.351589335234</v>
      </c>
      <c r="C1148" s="12">
        <v>800.42781984432895</v>
      </c>
      <c r="D1148" s="8">
        <v>-1.1553752439343601</v>
      </c>
      <c r="E1148" s="12">
        <v>2.74336472284837E-3</v>
      </c>
      <c r="F1148" s="8" t="s">
        <v>7927</v>
      </c>
      <c r="G1148" s="12" t="s">
        <v>19673</v>
      </c>
      <c r="H1148" s="12">
        <v>1</v>
      </c>
      <c r="I1148" s="13" t="str">
        <f>HYPERLINK("http://www.ncbi.nlm.nih.gov/gene/90736", "90736")</f>
        <v>90736</v>
      </c>
      <c r="J1148" s="12" t="s">
        <v>19736</v>
      </c>
      <c r="K1148" s="12" t="s">
        <v>19737</v>
      </c>
      <c r="L1148" s="13" t="str">
        <f>HYPERLINK("http://asia.ensembl.org/Homo_sapiens/Gene/Summary?g=ENSG00000182518", "ENSG00000182518")</f>
        <v>ENSG00000182518</v>
      </c>
      <c r="M1148" s="12" t="s">
        <v>19676</v>
      </c>
      <c r="N1148" s="12" t="s">
        <v>19677</v>
      </c>
    </row>
    <row r="1149" spans="1:14">
      <c r="A1149" s="12" t="s">
        <v>9404</v>
      </c>
      <c r="B1149" s="8">
        <v>6527.5572807412</v>
      </c>
      <c r="C1149" s="12">
        <v>14537.7961490485</v>
      </c>
      <c r="D1149" s="8">
        <v>-1.15519346342866</v>
      </c>
      <c r="E1149" s="12">
        <v>7.9595579314666598E-3</v>
      </c>
      <c r="F1149" s="8" t="s">
        <v>9405</v>
      </c>
      <c r="G1149" s="12" t="s">
        <v>9406</v>
      </c>
      <c r="H1149" s="12">
        <v>1</v>
      </c>
      <c r="I1149" s="13" t="str">
        <f>HYPERLINK("http://www.ncbi.nlm.nih.gov/gene/339229", "339229")</f>
        <v>339229</v>
      </c>
      <c r="J1149" s="13" t="str">
        <f>HYPERLINK("http://www.ncbi.nlm.nih.gov/nuccore/NM_001039842", "NM_001039842")</f>
        <v>NM_001039842</v>
      </c>
      <c r="K1149" s="12" t="s">
        <v>9407</v>
      </c>
      <c r="L1149" s="13" t="str">
        <f>HYPERLINK("http://asia.ensembl.org/Homo_sapiens/Gene/Summary?g=ENSG00000204237", "ENSG00000204237")</f>
        <v>ENSG00000204237</v>
      </c>
      <c r="M1149" s="12" t="s">
        <v>19145</v>
      </c>
      <c r="N1149" s="12" t="s">
        <v>19146</v>
      </c>
    </row>
    <row r="1150" spans="1:14">
      <c r="A1150" s="12" t="s">
        <v>9227</v>
      </c>
      <c r="B1150" s="8">
        <v>5025.6023303628299</v>
      </c>
      <c r="C1150" s="12">
        <v>11192.0330468477</v>
      </c>
      <c r="D1150" s="8">
        <v>-1.1551037052938</v>
      </c>
      <c r="E1150" s="12">
        <v>8.2754508080566704E-3</v>
      </c>
      <c r="F1150" s="8" t="s">
        <v>9228</v>
      </c>
      <c r="G1150" s="12" t="s">
        <v>9229</v>
      </c>
      <c r="H1150" s="12">
        <v>1</v>
      </c>
      <c r="I1150" s="13" t="str">
        <f>HYPERLINK("http://www.ncbi.nlm.nih.gov/gene/122416", "122416")</f>
        <v>122416</v>
      </c>
      <c r="J1150" s="13" t="str">
        <f>HYPERLINK("http://www.ncbi.nlm.nih.gov/nuccore/NM_152326", "NM_152326")</f>
        <v>NM_152326</v>
      </c>
      <c r="K1150" s="12" t="s">
        <v>9230</v>
      </c>
      <c r="L1150" s="13" t="str">
        <f>HYPERLINK("http://asia.ensembl.org/Homo_sapiens/Gene/Summary?g=ENSG00000156381", "ENSG00000156381")</f>
        <v>ENSG00000156381</v>
      </c>
      <c r="M1150" s="12" t="s">
        <v>19103</v>
      </c>
      <c r="N1150" s="12" t="s">
        <v>19104</v>
      </c>
    </row>
    <row r="1151" spans="1:14">
      <c r="A1151" s="12" t="s">
        <v>11093</v>
      </c>
      <c r="B1151" s="8">
        <v>62.596041485202697</v>
      </c>
      <c r="C1151" s="12">
        <v>139.372737169537</v>
      </c>
      <c r="D1151" s="8">
        <v>-1.15480505141072</v>
      </c>
      <c r="E1151" s="12">
        <v>4.2687703611487798E-2</v>
      </c>
      <c r="F1151" s="8" t="s">
        <v>11094</v>
      </c>
      <c r="G1151" s="12" t="s">
        <v>11095</v>
      </c>
      <c r="H1151" s="12">
        <v>1</v>
      </c>
      <c r="I1151" s="13" t="str">
        <f>HYPERLINK("http://www.ncbi.nlm.nih.gov/gene/100505679", "100505679")</f>
        <v>100505679</v>
      </c>
      <c r="J1151" s="13" t="str">
        <f>HYPERLINK("http://www.ncbi.nlm.nih.gov/nuccore/NM_001243531", "NM_001243531")</f>
        <v>NM_001243531</v>
      </c>
      <c r="K1151" s="12" t="s">
        <v>11096</v>
      </c>
      <c r="L1151" s="13" t="str">
        <f>HYPERLINK("http://asia.ensembl.org/Homo_sapiens/Gene/Summary?g=ENSG00000259511", "ENSG00000259511")</f>
        <v>ENSG00000259511</v>
      </c>
      <c r="M1151" s="12" t="s">
        <v>11097</v>
      </c>
      <c r="N1151" s="12" t="s">
        <v>11098</v>
      </c>
    </row>
    <row r="1152" spans="1:14">
      <c r="A1152" s="12" t="s">
        <v>1078</v>
      </c>
      <c r="B1152" s="8">
        <v>6305.2262377505103</v>
      </c>
      <c r="C1152" s="12">
        <v>14036.6748924245</v>
      </c>
      <c r="D1152" s="8">
        <v>-1.1545811783136599</v>
      </c>
      <c r="E1152" s="12">
        <v>1.16632045593328E-2</v>
      </c>
      <c r="F1152" s="8" t="s">
        <v>962</v>
      </c>
      <c r="G1152" s="12" t="s">
        <v>963</v>
      </c>
      <c r="H1152" s="12">
        <v>1</v>
      </c>
      <c r="I1152" s="13" t="str">
        <f>HYPERLINK("http://www.ncbi.nlm.nih.gov/gene/55893", "55893")</f>
        <v>55893</v>
      </c>
      <c r="J1152" s="13" t="str">
        <f>HYPERLINK("http://www.ncbi.nlm.nih.gov/nuccore/NM_018660", "NM_018660")</f>
        <v>NM_018660</v>
      </c>
      <c r="K1152" s="12" t="s">
        <v>964</v>
      </c>
      <c r="L1152" s="13" t="str">
        <f>HYPERLINK("http://asia.ensembl.org/Homo_sapiens/Gene/Summary?g=ENSG00000186918", "ENSG00000186918")</f>
        <v>ENSG00000186918</v>
      </c>
      <c r="M1152" s="12" t="s">
        <v>16506</v>
      </c>
      <c r="N1152" s="12" t="s">
        <v>16507</v>
      </c>
    </row>
    <row r="1153" spans="1:14">
      <c r="A1153" s="12" t="s">
        <v>10449</v>
      </c>
      <c r="B1153" s="8">
        <v>50.063549368408196</v>
      </c>
      <c r="C1153" s="12">
        <v>111.44470910753</v>
      </c>
      <c r="D1153" s="8">
        <v>-1.1544956426773301</v>
      </c>
      <c r="E1153" s="12">
        <v>1.32749342372993E-3</v>
      </c>
      <c r="F1153" s="8" t="s">
        <v>38</v>
      </c>
      <c r="G1153" s="12" t="s">
        <v>38</v>
      </c>
      <c r="H1153" s="12">
        <v>1</v>
      </c>
      <c r="I1153" s="12" t="s">
        <v>38</v>
      </c>
      <c r="J1153" s="12" t="s">
        <v>38</v>
      </c>
      <c r="K1153" s="12" t="s">
        <v>38</v>
      </c>
      <c r="L1153" s="13" t="str">
        <f>HYPERLINK("http://asia.ensembl.org/Homo_sapiens/Gene/Summary?g=ENSG00000211962", "ENSG00000211962")</f>
        <v>ENSG00000211962</v>
      </c>
      <c r="M1153" s="12" t="s">
        <v>10450</v>
      </c>
      <c r="N1153" s="12" t="s">
        <v>10451</v>
      </c>
    </row>
    <row r="1154" spans="1:14">
      <c r="A1154" s="12" t="s">
        <v>8850</v>
      </c>
      <c r="B1154" s="8">
        <v>730.96077668093596</v>
      </c>
      <c r="C1154" s="12">
        <v>1626.90736471235</v>
      </c>
      <c r="D1154" s="8">
        <v>-1.1542662085956299</v>
      </c>
      <c r="E1154" s="12">
        <v>6.17529056128884E-3</v>
      </c>
      <c r="F1154" s="8" t="s">
        <v>7754</v>
      </c>
      <c r="G1154" s="12" t="s">
        <v>7755</v>
      </c>
      <c r="H1154" s="12">
        <v>1</v>
      </c>
      <c r="I1154" s="13" t="str">
        <f>HYPERLINK("http://www.ncbi.nlm.nih.gov/gene/4088", "4088")</f>
        <v>4088</v>
      </c>
      <c r="J1154" s="12" t="s">
        <v>18977</v>
      </c>
      <c r="K1154" s="12" t="s">
        <v>18978</v>
      </c>
      <c r="L1154" s="13" t="str">
        <f>HYPERLINK("http://asia.ensembl.org/Homo_sapiens/Gene/Summary?g=ENSG00000166949", "ENSG00000166949")</f>
        <v>ENSG00000166949</v>
      </c>
      <c r="M1154" s="12" t="s">
        <v>18979</v>
      </c>
      <c r="N1154" s="12" t="s">
        <v>18980</v>
      </c>
    </row>
    <row r="1155" spans="1:14">
      <c r="A1155" s="12" t="s">
        <v>10789</v>
      </c>
      <c r="B1155" s="8">
        <v>140.89251889112899</v>
      </c>
      <c r="C1155" s="12">
        <v>313.51250255850198</v>
      </c>
      <c r="D1155" s="8">
        <v>-1.1539279678983201</v>
      </c>
      <c r="E1155" s="12">
        <v>1.2874855500511701E-2</v>
      </c>
      <c r="F1155" s="8" t="s">
        <v>5564</v>
      </c>
      <c r="G1155" s="12" t="s">
        <v>5565</v>
      </c>
      <c r="H1155" s="12">
        <v>1</v>
      </c>
      <c r="I1155" s="13" t="str">
        <f>HYPERLINK("http://www.ncbi.nlm.nih.gov/gene/5087", "5087")</f>
        <v>5087</v>
      </c>
      <c r="J1155" s="12" t="s">
        <v>19851</v>
      </c>
      <c r="K1155" s="12" t="s">
        <v>19852</v>
      </c>
      <c r="L1155" s="13" t="str">
        <f>HYPERLINK("http://asia.ensembl.org/Homo_sapiens/Gene/Summary?g=ENSG00000185630", "ENSG00000185630")</f>
        <v>ENSG00000185630</v>
      </c>
      <c r="M1155" s="12" t="s">
        <v>19853</v>
      </c>
      <c r="N1155" s="12" t="s">
        <v>19854</v>
      </c>
    </row>
    <row r="1156" spans="1:14">
      <c r="A1156" s="12" t="s">
        <v>10860</v>
      </c>
      <c r="B1156" s="8">
        <v>2600.1734480876398</v>
      </c>
      <c r="C1156" s="12">
        <v>5785.7064695879599</v>
      </c>
      <c r="D1156" s="8">
        <v>-1.1538852684496701</v>
      </c>
      <c r="E1156" s="12">
        <v>2.7861216398171202E-3</v>
      </c>
      <c r="F1156" s="8" t="s">
        <v>8522</v>
      </c>
      <c r="G1156" s="12" t="s">
        <v>8523</v>
      </c>
      <c r="H1156" s="12">
        <v>1</v>
      </c>
      <c r="I1156" s="13" t="str">
        <f>HYPERLINK("http://www.ncbi.nlm.nih.gov/gene/51316", "51316")</f>
        <v>51316</v>
      </c>
      <c r="J1156" s="12" t="s">
        <v>18866</v>
      </c>
      <c r="K1156" s="12" t="s">
        <v>18867</v>
      </c>
      <c r="L1156" s="13" t="str">
        <f>HYPERLINK("http://asia.ensembl.org/Homo_sapiens/Gene/Summary?g=ENSG00000145287", "ENSG00000145287")</f>
        <v>ENSG00000145287</v>
      </c>
      <c r="M1156" s="12" t="s">
        <v>18868</v>
      </c>
      <c r="N1156" s="12" t="s">
        <v>18869</v>
      </c>
    </row>
    <row r="1157" spans="1:14">
      <c r="A1157" s="12" t="s">
        <v>8407</v>
      </c>
      <c r="B1157" s="8">
        <v>23541.265529209799</v>
      </c>
      <c r="C1157" s="12">
        <v>52382.161346537301</v>
      </c>
      <c r="D1157" s="8">
        <v>-1.15388370939709</v>
      </c>
      <c r="E1157" s="12">
        <v>7.8639319266899394E-3</v>
      </c>
      <c r="F1157" s="8" t="s">
        <v>6938</v>
      </c>
      <c r="G1157" s="12" t="s">
        <v>6939</v>
      </c>
      <c r="H1157" s="12">
        <v>1</v>
      </c>
      <c r="I1157" s="13" t="str">
        <f>HYPERLINK("http://www.ncbi.nlm.nih.gov/gene/6628", "6628")</f>
        <v>6628</v>
      </c>
      <c r="J1157" s="12" t="s">
        <v>18817</v>
      </c>
      <c r="K1157" s="12" t="s">
        <v>18818</v>
      </c>
      <c r="L1157" s="13" t="str">
        <f>HYPERLINK("http://asia.ensembl.org/Homo_sapiens/Gene/Summary?g=ENSG00000125835", "ENSG00000125835")</f>
        <v>ENSG00000125835</v>
      </c>
      <c r="M1157" s="12" t="s">
        <v>18819</v>
      </c>
      <c r="N1157" s="12" t="s">
        <v>18820</v>
      </c>
    </row>
    <row r="1158" spans="1:14">
      <c r="A1158" s="12" t="s">
        <v>902</v>
      </c>
      <c r="B1158" s="8">
        <v>10213.5217876478</v>
      </c>
      <c r="C1158" s="12">
        <v>22717.357372492101</v>
      </c>
      <c r="D1158" s="8">
        <v>-1.1533146045326199</v>
      </c>
      <c r="E1158" s="12">
        <v>2.4995747591975898E-3</v>
      </c>
      <c r="F1158" s="8" t="s">
        <v>903</v>
      </c>
      <c r="G1158" s="12" t="s">
        <v>16464</v>
      </c>
      <c r="H1158" s="12">
        <v>1</v>
      </c>
      <c r="I1158" s="13" t="str">
        <f>HYPERLINK("http://www.ncbi.nlm.nih.gov/gene/10535", "10535")</f>
        <v>10535</v>
      </c>
      <c r="J1158" s="13" t="str">
        <f>HYPERLINK("http://www.ncbi.nlm.nih.gov/nuccore/NM_006397", "NM_006397")</f>
        <v>NM_006397</v>
      </c>
      <c r="K1158" s="12" t="s">
        <v>904</v>
      </c>
      <c r="L1158" s="13" t="str">
        <f>HYPERLINK("http://asia.ensembl.org/Homo_sapiens/Gene/Summary?g=ENSG00000104889", "ENSG00000104889")</f>
        <v>ENSG00000104889</v>
      </c>
      <c r="M1158" s="12" t="s">
        <v>16465</v>
      </c>
      <c r="N1158" s="12" t="s">
        <v>905</v>
      </c>
    </row>
    <row r="1159" spans="1:14">
      <c r="A1159" s="12" t="s">
        <v>991</v>
      </c>
      <c r="B1159" s="8">
        <v>18278.091416241401</v>
      </c>
      <c r="C1159" s="12">
        <v>40635.018968108503</v>
      </c>
      <c r="D1159" s="8">
        <v>-1.15260813450739</v>
      </c>
      <c r="E1159" s="12">
        <v>1.161652546778E-2</v>
      </c>
      <c r="F1159" s="8" t="s">
        <v>992</v>
      </c>
      <c r="G1159" s="12" t="s">
        <v>993</v>
      </c>
      <c r="H1159" s="12">
        <v>1</v>
      </c>
      <c r="I1159" s="13" t="str">
        <f>HYPERLINK("http://www.ncbi.nlm.nih.gov/gene/353", "353")</f>
        <v>353</v>
      </c>
      <c r="J1159" s="12" t="s">
        <v>16477</v>
      </c>
      <c r="K1159" s="12" t="s">
        <v>16478</v>
      </c>
      <c r="L1159" s="13" t="str">
        <f>HYPERLINK("http://asia.ensembl.org/Homo_sapiens/Gene/Summary?g=ENSG00000198931", "ENSG00000198931")</f>
        <v>ENSG00000198931</v>
      </c>
      <c r="M1159" s="12" t="s">
        <v>16479</v>
      </c>
      <c r="N1159" s="12" t="s">
        <v>16480</v>
      </c>
    </row>
    <row r="1160" spans="1:14">
      <c r="A1160" s="12" t="s">
        <v>9847</v>
      </c>
      <c r="B1160" s="8">
        <v>7491.6018685388099</v>
      </c>
      <c r="C1160" s="12">
        <v>16652.800195766002</v>
      </c>
      <c r="D1160" s="8">
        <v>-1.1524186526662401</v>
      </c>
      <c r="E1160" s="12">
        <v>2.0470562567045701E-3</v>
      </c>
      <c r="F1160" s="8" t="s">
        <v>9848</v>
      </c>
      <c r="G1160" s="12" t="s">
        <v>9849</v>
      </c>
      <c r="H1160" s="12">
        <v>1</v>
      </c>
      <c r="I1160" s="13" t="str">
        <f>HYPERLINK("http://www.ncbi.nlm.nih.gov/gene/271", "271")</f>
        <v>271</v>
      </c>
      <c r="J1160" s="12" t="s">
        <v>19362</v>
      </c>
      <c r="K1160" s="12" t="s">
        <v>19363</v>
      </c>
      <c r="L1160" s="13" t="str">
        <f>HYPERLINK("http://asia.ensembl.org/Homo_sapiens/Gene/Summary?g=ENSG00000116337", "ENSG00000116337")</f>
        <v>ENSG00000116337</v>
      </c>
      <c r="M1160" s="12" t="s">
        <v>19364</v>
      </c>
      <c r="N1160" s="12" t="s">
        <v>19365</v>
      </c>
    </row>
    <row r="1161" spans="1:14">
      <c r="A1161" s="12" t="s">
        <v>8787</v>
      </c>
      <c r="B1161" s="8">
        <v>296.77663121711998</v>
      </c>
      <c r="C1161" s="12">
        <v>659.656573162575</v>
      </c>
      <c r="D1161" s="8">
        <v>-1.15233763607661</v>
      </c>
      <c r="E1161" s="12">
        <v>3.6778560276377501E-4</v>
      </c>
      <c r="F1161" s="8" t="s">
        <v>8764</v>
      </c>
      <c r="G1161" s="12" t="s">
        <v>18960</v>
      </c>
      <c r="H1161" s="12">
        <v>1</v>
      </c>
      <c r="I1161" s="13" t="str">
        <f>HYPERLINK("http://www.ncbi.nlm.nih.gov/gene/79987", "79987")</f>
        <v>79987</v>
      </c>
      <c r="J1161" s="13" t="str">
        <f>HYPERLINK("http://www.ncbi.nlm.nih.gov/nuccore/NM_153366", "NM_153366")</f>
        <v>NM_153366</v>
      </c>
      <c r="K1161" s="12" t="s">
        <v>8765</v>
      </c>
      <c r="L1161" s="13" t="str">
        <f>HYPERLINK("http://asia.ensembl.org/Homo_sapiens/Gene/Summary?g=ENSG00000165124", "ENSG00000165124")</f>
        <v>ENSG00000165124</v>
      </c>
      <c r="M1161" s="12" t="s">
        <v>18961</v>
      </c>
      <c r="N1161" s="12" t="s">
        <v>18962</v>
      </c>
    </row>
    <row r="1162" spans="1:14">
      <c r="A1162" s="12" t="s">
        <v>1668</v>
      </c>
      <c r="B1162" s="8">
        <v>5776.0995498010698</v>
      </c>
      <c r="C1162" s="12">
        <v>12838.238159018099</v>
      </c>
      <c r="D1162" s="8">
        <v>-1.15227971735187</v>
      </c>
      <c r="E1162" s="12">
        <v>1.32104744963233E-2</v>
      </c>
      <c r="F1162" s="8" t="s">
        <v>1669</v>
      </c>
      <c r="G1162" s="12" t="s">
        <v>15570</v>
      </c>
      <c r="H1162" s="12">
        <v>1</v>
      </c>
      <c r="I1162" s="13" t="str">
        <f>HYPERLINK("http://www.ncbi.nlm.nih.gov/gene/5682", "5682")</f>
        <v>5682</v>
      </c>
      <c r="J1162" s="12" t="s">
        <v>16746</v>
      </c>
      <c r="K1162" s="12" t="s">
        <v>16747</v>
      </c>
      <c r="L1162" s="13" t="str">
        <f>HYPERLINK("http://asia.ensembl.org/Homo_sapiens/Gene/Summary?g=ENSG00000129084", "ENSG00000129084")</f>
        <v>ENSG00000129084</v>
      </c>
      <c r="M1162" s="12" t="s">
        <v>16748</v>
      </c>
      <c r="N1162" s="12" t="s">
        <v>16749</v>
      </c>
    </row>
    <row r="1163" spans="1:14">
      <c r="A1163" s="12" t="s">
        <v>10635</v>
      </c>
      <c r="B1163" s="8">
        <v>49.999999999999901</v>
      </c>
      <c r="C1163" s="12">
        <v>111.120517226066</v>
      </c>
      <c r="D1163" s="8">
        <v>-1.1521252196744201</v>
      </c>
      <c r="E1163" s="12">
        <v>2.6860296978899599E-2</v>
      </c>
      <c r="F1163" s="8" t="s">
        <v>6539</v>
      </c>
      <c r="G1163" s="12" t="s">
        <v>6540</v>
      </c>
      <c r="H1163" s="12">
        <v>1</v>
      </c>
      <c r="I1163" s="13" t="str">
        <f>HYPERLINK("http://www.ncbi.nlm.nih.gov/gene/10826", "10826")</f>
        <v>10826</v>
      </c>
      <c r="J1163" s="13" t="str">
        <f>HYPERLINK("http://www.ncbi.nlm.nih.gov/nuccore/NM_032385", "NM_032385")</f>
        <v>NM_032385</v>
      </c>
      <c r="K1163" s="12" t="s">
        <v>6541</v>
      </c>
      <c r="L1163" s="13" t="str">
        <f>HYPERLINK("http://asia.ensembl.org/Homo_sapiens/Gene/Summary?g=ENSG00000170271", "ENSG00000170271")</f>
        <v>ENSG00000170271</v>
      </c>
      <c r="M1163" s="12" t="s">
        <v>19814</v>
      </c>
      <c r="N1163" s="12" t="s">
        <v>19815</v>
      </c>
    </row>
    <row r="1164" spans="1:14">
      <c r="A1164" s="12" t="s">
        <v>10044</v>
      </c>
      <c r="B1164" s="8">
        <v>71530.294579509704</v>
      </c>
      <c r="C1164" s="12">
        <v>158968.16373951701</v>
      </c>
      <c r="D1164" s="8">
        <v>-1.1521115805397</v>
      </c>
      <c r="E1164" s="12">
        <v>1.40975356390989E-2</v>
      </c>
      <c r="F1164" s="8" t="s">
        <v>10045</v>
      </c>
      <c r="G1164" s="12" t="s">
        <v>10046</v>
      </c>
      <c r="H1164" s="12">
        <v>1</v>
      </c>
      <c r="I1164" s="13" t="str">
        <f>HYPERLINK("http://www.ncbi.nlm.nih.gov/gene/6636", "6636")</f>
        <v>6636</v>
      </c>
      <c r="J1164" s="13" t="str">
        <f>HYPERLINK("http://www.ncbi.nlm.nih.gov/nuccore/NM_003095", "NM_003095")</f>
        <v>NM_003095</v>
      </c>
      <c r="K1164" s="12" t="s">
        <v>10047</v>
      </c>
      <c r="L1164" s="13" t="str">
        <f>HYPERLINK("http://asia.ensembl.org/Homo_sapiens/Gene/Summary?g=ENSG00000139343", "ENSG00000139343")</f>
        <v>ENSG00000139343</v>
      </c>
      <c r="M1164" s="12" t="s">
        <v>19522</v>
      </c>
      <c r="N1164" s="12" t="s">
        <v>19523</v>
      </c>
    </row>
    <row r="1165" spans="1:14">
      <c r="A1165" s="12" t="s">
        <v>9503</v>
      </c>
      <c r="B1165" s="8">
        <v>43862.958939406599</v>
      </c>
      <c r="C1165" s="12">
        <v>97461.471772374294</v>
      </c>
      <c r="D1165" s="8">
        <v>-1.15182887126525</v>
      </c>
      <c r="E1165" s="12">
        <v>1.7613593919220499E-2</v>
      </c>
      <c r="F1165" s="8" t="s">
        <v>4817</v>
      </c>
      <c r="G1165" s="12" t="s">
        <v>15570</v>
      </c>
      <c r="H1165" s="12">
        <v>1</v>
      </c>
      <c r="I1165" s="13" t="str">
        <f>HYPERLINK("http://www.ncbi.nlm.nih.gov/gene/5695", "5695")</f>
        <v>5695</v>
      </c>
      <c r="J1165" s="13" t="str">
        <f>HYPERLINK("http://www.ncbi.nlm.nih.gov/nuccore/NM_002799", "NM_002799")</f>
        <v>NM_002799</v>
      </c>
      <c r="K1165" s="12" t="s">
        <v>4818</v>
      </c>
      <c r="L1165" s="13" t="str">
        <f>HYPERLINK("http://asia.ensembl.org/Homo_sapiens/Gene/Summary?g=ENSG00000136930", "ENSG00000136930")</f>
        <v>ENSG00000136930</v>
      </c>
      <c r="M1165" s="12" t="s">
        <v>17745</v>
      </c>
      <c r="N1165" s="12" t="s">
        <v>17746</v>
      </c>
    </row>
    <row r="1166" spans="1:14">
      <c r="A1166" s="12" t="s">
        <v>2164</v>
      </c>
      <c r="B1166" s="8">
        <v>4577.7694592367798</v>
      </c>
      <c r="C1166" s="12">
        <v>10170.531042508001</v>
      </c>
      <c r="D1166" s="8">
        <v>-1.15167829545362</v>
      </c>
      <c r="E1166" s="12">
        <v>5.9179268738286297E-3</v>
      </c>
      <c r="F1166" s="8" t="s">
        <v>2165</v>
      </c>
      <c r="G1166" s="12" t="s">
        <v>2166</v>
      </c>
      <c r="H1166" s="12">
        <v>1</v>
      </c>
      <c r="I1166" s="13" t="str">
        <f>HYPERLINK("http://www.ncbi.nlm.nih.gov/gene/26147", "26147")</f>
        <v>26147</v>
      </c>
      <c r="J1166" s="13" t="str">
        <f>HYPERLINK("http://www.ncbi.nlm.nih.gov/nuccore/NM_015651", "NM_015651")</f>
        <v>NM_015651</v>
      </c>
      <c r="K1166" s="12" t="s">
        <v>2167</v>
      </c>
      <c r="L1166" s="13" t="str">
        <f>HYPERLINK("http://asia.ensembl.org/Homo_sapiens/Gene/Summary?g=ENSG00000119403", "ENSG00000119403")</f>
        <v>ENSG00000119403</v>
      </c>
      <c r="M1166" s="12" t="s">
        <v>16951</v>
      </c>
      <c r="N1166" s="12" t="s">
        <v>16952</v>
      </c>
    </row>
    <row r="1167" spans="1:14">
      <c r="A1167" s="12" t="s">
        <v>8783</v>
      </c>
      <c r="B1167" s="8">
        <v>128.23046578468501</v>
      </c>
      <c r="C1167" s="12">
        <v>284.81545106517001</v>
      </c>
      <c r="D1167" s="8">
        <v>-1.15128834669261</v>
      </c>
      <c r="E1167" s="12">
        <v>4.2171024924914001E-2</v>
      </c>
      <c r="F1167" s="8" t="s">
        <v>8784</v>
      </c>
      <c r="G1167" s="12" t="s">
        <v>8785</v>
      </c>
      <c r="H1167" s="12">
        <v>1</v>
      </c>
      <c r="I1167" s="13" t="str">
        <f>HYPERLINK("http://www.ncbi.nlm.nih.gov/gene/4666", "4666")</f>
        <v>4666</v>
      </c>
      <c r="J1167" s="13" t="str">
        <f>HYPERLINK("http://www.ncbi.nlm.nih.gov/nuccore/NM_001113203", "NM_001113203")</f>
        <v>NM_001113203</v>
      </c>
      <c r="K1167" s="12" t="s">
        <v>8786</v>
      </c>
      <c r="L1167" s="13" t="str">
        <f>HYPERLINK("http://asia.ensembl.org/Homo_sapiens/Gene/Summary?g=ENSG00000196531", "ENSG00000196531")</f>
        <v>ENSG00000196531</v>
      </c>
      <c r="M1167" s="12" t="s">
        <v>18958</v>
      </c>
      <c r="N1167" s="12" t="s">
        <v>18959</v>
      </c>
    </row>
    <row r="1168" spans="1:14">
      <c r="A1168" s="12" t="s">
        <v>11830</v>
      </c>
      <c r="B1168" s="8">
        <v>48588.051840592998</v>
      </c>
      <c r="C1168" s="12">
        <v>107895.538145821</v>
      </c>
      <c r="D1168" s="8">
        <v>-1.1509617123906599</v>
      </c>
      <c r="E1168" s="12">
        <v>4.05532282415363E-3</v>
      </c>
      <c r="F1168" s="8" t="s">
        <v>1492</v>
      </c>
      <c r="G1168" s="12" t="s">
        <v>16651</v>
      </c>
      <c r="H1168" s="12">
        <v>1</v>
      </c>
      <c r="I1168" s="13" t="str">
        <f>HYPERLINK("http://www.ncbi.nlm.nih.gov/gene/4190", "4190")</f>
        <v>4190</v>
      </c>
      <c r="J1168" s="12" t="s">
        <v>20217</v>
      </c>
      <c r="K1168" s="12" t="s">
        <v>20218</v>
      </c>
      <c r="L1168" s="13" t="str">
        <f>HYPERLINK("http://asia.ensembl.org/Homo_sapiens/Gene/Summary?g=ENSG00000014641", "ENSG00000014641")</f>
        <v>ENSG00000014641</v>
      </c>
      <c r="M1168" s="12" t="s">
        <v>16654</v>
      </c>
      <c r="N1168" s="12" t="s">
        <v>16655</v>
      </c>
    </row>
    <row r="1169" spans="1:14">
      <c r="A1169" s="12" t="s">
        <v>3453</v>
      </c>
      <c r="B1169" s="8">
        <v>11553.7568917598</v>
      </c>
      <c r="C1169" s="12">
        <v>25651.5703092652</v>
      </c>
      <c r="D1169" s="8">
        <v>-1.1506851021748501</v>
      </c>
      <c r="E1169" s="12">
        <v>7.8332941632350804E-4</v>
      </c>
      <c r="F1169" s="8" t="s">
        <v>3454</v>
      </c>
      <c r="G1169" s="12" t="s">
        <v>3455</v>
      </c>
      <c r="H1169" s="12">
        <v>1</v>
      </c>
      <c r="I1169" s="13" t="str">
        <f>HYPERLINK("http://www.ncbi.nlm.nih.gov/gene/83596", "83596")</f>
        <v>83596</v>
      </c>
      <c r="J1169" s="12" t="s">
        <v>17305</v>
      </c>
      <c r="K1169" s="12" t="s">
        <v>17306</v>
      </c>
      <c r="L1169" s="13" t="str">
        <f>HYPERLINK("http://asia.ensembl.org/Homo_sapiens/Gene/Summary?g=ENSG00000126453", "ENSG00000126453")</f>
        <v>ENSG00000126453</v>
      </c>
      <c r="M1169" s="12" t="s">
        <v>17307</v>
      </c>
      <c r="N1169" s="12" t="s">
        <v>17308</v>
      </c>
    </row>
    <row r="1170" spans="1:14">
      <c r="A1170" s="12" t="s">
        <v>10165</v>
      </c>
      <c r="B1170" s="8">
        <v>48510.123536827101</v>
      </c>
      <c r="C1170" s="12">
        <v>107698.679530501</v>
      </c>
      <c r="D1170" s="8">
        <v>-1.1506428027829201</v>
      </c>
      <c r="E1170" s="12">
        <v>4.0931531567351704E-3</v>
      </c>
      <c r="F1170" s="8" t="s">
        <v>10166</v>
      </c>
      <c r="G1170" s="12" t="s">
        <v>10167</v>
      </c>
      <c r="H1170" s="12">
        <v>1</v>
      </c>
      <c r="I1170" s="13" t="str">
        <f>HYPERLINK("http://www.ncbi.nlm.nih.gov/gene/100506144", "100506144")</f>
        <v>100506144</v>
      </c>
      <c r="J1170" s="13" t="str">
        <f>HYPERLINK("http://www.ncbi.nlm.nih.gov/nuccore/NM_001195156", "NM_001195156")</f>
        <v>NM_001195156</v>
      </c>
      <c r="K1170" s="12" t="s">
        <v>10168</v>
      </c>
      <c r="L1170" s="13" t="str">
        <f>HYPERLINK("http://asia.ensembl.org/Homo_sapiens/Gene/Summary?g=ENSG00000243749", "ENSG00000243749")</f>
        <v>ENSG00000243749</v>
      </c>
      <c r="M1170" s="12" t="s">
        <v>10169</v>
      </c>
      <c r="N1170" s="12" t="s">
        <v>10170</v>
      </c>
    </row>
    <row r="1171" spans="1:14">
      <c r="A1171" s="12" t="s">
        <v>2021</v>
      </c>
      <c r="B1171" s="8">
        <v>520.82018363621205</v>
      </c>
      <c r="C1171" s="12">
        <v>1156.24931087907</v>
      </c>
      <c r="D1171" s="8">
        <v>-1.15059524151921</v>
      </c>
      <c r="E1171" s="12">
        <v>6.1923279094896304E-3</v>
      </c>
      <c r="F1171" s="8" t="s">
        <v>2022</v>
      </c>
      <c r="G1171" s="12" t="s">
        <v>2023</v>
      </c>
      <c r="H1171" s="12">
        <v>1</v>
      </c>
      <c r="I1171" s="13" t="str">
        <f>HYPERLINK("http://www.ncbi.nlm.nih.gov/gene/794", "794")</f>
        <v>794</v>
      </c>
      <c r="J1171" s="12" t="s">
        <v>16881</v>
      </c>
      <c r="K1171" s="12" t="s">
        <v>16882</v>
      </c>
      <c r="L1171" s="13" t="str">
        <f>HYPERLINK("http://asia.ensembl.org/Homo_sapiens/Gene/Summary?g=ENSG00000172137", "ENSG00000172137")</f>
        <v>ENSG00000172137</v>
      </c>
      <c r="M1171" s="12" t="s">
        <v>16883</v>
      </c>
      <c r="N1171" s="12" t="s">
        <v>16884</v>
      </c>
    </row>
    <row r="1172" spans="1:14">
      <c r="A1172" s="12" t="s">
        <v>4093</v>
      </c>
      <c r="B1172" s="8">
        <v>2964.1084995142101</v>
      </c>
      <c r="C1172" s="12">
        <v>6580.2150764766902</v>
      </c>
      <c r="D1172" s="8">
        <v>-1.15053648204346</v>
      </c>
      <c r="E1172" s="12">
        <v>4.3801051088463898E-3</v>
      </c>
      <c r="F1172" s="8" t="s">
        <v>4094</v>
      </c>
      <c r="G1172" s="12" t="s">
        <v>4095</v>
      </c>
      <c r="H1172" s="12">
        <v>1</v>
      </c>
      <c r="I1172" s="13" t="str">
        <f>HYPERLINK("http://www.ncbi.nlm.nih.gov/gene/92400", "92400")</f>
        <v>92400</v>
      </c>
      <c r="J1172" s="12" t="s">
        <v>17550</v>
      </c>
      <c r="K1172" s="12" t="s">
        <v>17551</v>
      </c>
      <c r="L1172" s="13" t="str">
        <f>HYPERLINK("http://asia.ensembl.org/Homo_sapiens/Gene/Summary?g=ENSG00000119446", "ENSG00000119446")</f>
        <v>ENSG00000119446</v>
      </c>
      <c r="M1172" s="12" t="s">
        <v>17552</v>
      </c>
      <c r="N1172" s="12" t="s">
        <v>4096</v>
      </c>
    </row>
    <row r="1173" spans="1:14">
      <c r="A1173" s="12" t="s">
        <v>6440</v>
      </c>
      <c r="B1173" s="8">
        <v>8085.3628723916399</v>
      </c>
      <c r="C1173" s="12">
        <v>17945.140349547099</v>
      </c>
      <c r="D1173" s="8">
        <v>-1.1502087779135901</v>
      </c>
      <c r="E1173" s="12">
        <v>1.1931074046034999E-3</v>
      </c>
      <c r="F1173" s="8" t="s">
        <v>6441</v>
      </c>
      <c r="G1173" s="12" t="s">
        <v>6442</v>
      </c>
      <c r="H1173" s="12">
        <v>1</v>
      </c>
      <c r="I1173" s="13" t="str">
        <f>HYPERLINK("http://www.ncbi.nlm.nih.gov/gene/29105", "29105")</f>
        <v>29105</v>
      </c>
      <c r="J1173" s="13" t="str">
        <f>HYPERLINK("http://www.ncbi.nlm.nih.gov/nuccore/NM_013242", "NM_013242")</f>
        <v>NM_013242</v>
      </c>
      <c r="K1173" s="12" t="s">
        <v>6443</v>
      </c>
      <c r="L1173" s="13" t="str">
        <f>HYPERLINK("http://asia.ensembl.org/Homo_sapiens/Gene/Summary?g=ENSG00000070761", "ENSG00000070761")</f>
        <v>ENSG00000070761</v>
      </c>
      <c r="M1173" s="12" t="s">
        <v>18166</v>
      </c>
      <c r="N1173" s="12" t="s">
        <v>18167</v>
      </c>
    </row>
    <row r="1174" spans="1:14">
      <c r="A1174" s="12" t="s">
        <v>8549</v>
      </c>
      <c r="B1174" s="8">
        <v>713.15669710663497</v>
      </c>
      <c r="C1174" s="12">
        <v>1582.1964238323401</v>
      </c>
      <c r="D1174" s="8">
        <v>-1.1496377059267699</v>
      </c>
      <c r="E1174" s="12">
        <v>5.7510671331327003E-4</v>
      </c>
      <c r="F1174" s="8" t="s">
        <v>5752</v>
      </c>
      <c r="G1174" s="12" t="s">
        <v>18903</v>
      </c>
      <c r="H1174" s="12">
        <v>1</v>
      </c>
      <c r="I1174" s="13" t="str">
        <f>HYPERLINK("http://www.ncbi.nlm.nih.gov/gene/55004", "55004")</f>
        <v>55004</v>
      </c>
      <c r="J1174" s="13" t="str">
        <f>HYPERLINK("http://www.ncbi.nlm.nih.gov/nuccore/NM_017907", "NM_017907")</f>
        <v>NM_017907</v>
      </c>
      <c r="K1174" s="12" t="s">
        <v>5753</v>
      </c>
      <c r="L1174" s="13" t="str">
        <f>HYPERLINK("http://asia.ensembl.org/Homo_sapiens/Gene/Summary?g=ENSG00000149357", "ENSG00000149357")</f>
        <v>ENSG00000149357</v>
      </c>
      <c r="M1174" s="12" t="s">
        <v>18904</v>
      </c>
      <c r="N1174" s="12" t="s">
        <v>18905</v>
      </c>
    </row>
    <row r="1175" spans="1:14">
      <c r="A1175" s="12" t="s">
        <v>8401</v>
      </c>
      <c r="B1175" s="8">
        <v>11500.776899409901</v>
      </c>
      <c r="C1175" s="12">
        <v>25513.718742965801</v>
      </c>
      <c r="D1175" s="8">
        <v>-1.1495418725045401</v>
      </c>
      <c r="E1175" s="12">
        <v>5.3057548468182104E-3</v>
      </c>
      <c r="F1175" s="8" t="s">
        <v>1669</v>
      </c>
      <c r="G1175" s="12" t="s">
        <v>15570</v>
      </c>
      <c r="H1175" s="12">
        <v>1</v>
      </c>
      <c r="I1175" s="13" t="str">
        <f>HYPERLINK("http://www.ncbi.nlm.nih.gov/gene/5682", "5682")</f>
        <v>5682</v>
      </c>
      <c r="J1175" s="12" t="s">
        <v>18813</v>
      </c>
      <c r="K1175" s="12" t="s">
        <v>18814</v>
      </c>
      <c r="L1175" s="13" t="str">
        <f>HYPERLINK("http://asia.ensembl.org/Homo_sapiens/Gene/Summary?g=ENSG00000129084", "ENSG00000129084")</f>
        <v>ENSG00000129084</v>
      </c>
      <c r="M1175" s="12" t="s">
        <v>16748</v>
      </c>
      <c r="N1175" s="12" t="s">
        <v>16749</v>
      </c>
    </row>
    <row r="1176" spans="1:14">
      <c r="A1176" s="12" t="s">
        <v>11050</v>
      </c>
      <c r="B1176" s="8">
        <v>111.200951108526</v>
      </c>
      <c r="C1176" s="12">
        <v>246.65981375959799</v>
      </c>
      <c r="D1176" s="8">
        <v>-1.1493535608567</v>
      </c>
      <c r="E1176" s="12">
        <v>4.6106141695197299E-2</v>
      </c>
      <c r="F1176" s="8" t="s">
        <v>11051</v>
      </c>
      <c r="G1176" s="12" t="s">
        <v>19943</v>
      </c>
      <c r="H1176" s="12">
        <v>1</v>
      </c>
      <c r="I1176" s="13" t="str">
        <f>HYPERLINK("http://www.ncbi.nlm.nih.gov/gene/646960", "646960")</f>
        <v>646960</v>
      </c>
      <c r="J1176" s="13" t="str">
        <f>HYPERLINK("http://www.ncbi.nlm.nih.gov/nuccore/NM_001195129", "NM_001195129")</f>
        <v>NM_001195129</v>
      </c>
      <c r="K1176" s="12" t="s">
        <v>11052</v>
      </c>
      <c r="L1176" s="13" t="str">
        <f>HYPERLINK("http://asia.ensembl.org/Homo_sapiens/Gene/Summary?g=ENSG00000237412", "ENSG00000237412")</f>
        <v>ENSG00000237412</v>
      </c>
      <c r="M1176" s="12" t="s">
        <v>19944</v>
      </c>
      <c r="N1176" s="12" t="s">
        <v>19945</v>
      </c>
    </row>
    <row r="1177" spans="1:14">
      <c r="A1177" s="12" t="s">
        <v>1531</v>
      </c>
      <c r="B1177" s="8">
        <v>58485.553802795301</v>
      </c>
      <c r="C1177" s="12">
        <v>129714.100582397</v>
      </c>
      <c r="D1177" s="8">
        <v>-1.1491830948125501</v>
      </c>
      <c r="E1177" s="12">
        <v>1.30337053457673E-2</v>
      </c>
      <c r="F1177" s="8" t="s">
        <v>1532</v>
      </c>
      <c r="G1177" s="12" t="s">
        <v>1533</v>
      </c>
      <c r="H1177" s="12">
        <v>1</v>
      </c>
      <c r="I1177" s="13" t="str">
        <f>HYPERLINK("http://www.ncbi.nlm.nih.gov/gene/645", "645")</f>
        <v>645</v>
      </c>
      <c r="J1177" s="13" t="str">
        <f>HYPERLINK("http://www.ncbi.nlm.nih.gov/nuccore/NM_000713", "NM_000713")</f>
        <v>NM_000713</v>
      </c>
      <c r="K1177" s="12" t="s">
        <v>1534</v>
      </c>
      <c r="L1177" s="13" t="str">
        <f>HYPERLINK("http://asia.ensembl.org/Homo_sapiens/Gene/Summary?g=ENSG00000090013", "ENSG00000090013")</f>
        <v>ENSG00000090013</v>
      </c>
      <c r="M1177" s="12" t="s">
        <v>16668</v>
      </c>
      <c r="N1177" s="12" t="s">
        <v>16669</v>
      </c>
    </row>
    <row r="1178" spans="1:14">
      <c r="A1178" s="12" t="s">
        <v>6086</v>
      </c>
      <c r="B1178" s="8">
        <v>5299.1114436860998</v>
      </c>
      <c r="C1178" s="12">
        <v>11748.6013004488</v>
      </c>
      <c r="D1178" s="8">
        <v>-1.14866663705318</v>
      </c>
      <c r="E1178" s="12">
        <v>1.01604732355698E-2</v>
      </c>
      <c r="F1178" s="8" t="s">
        <v>6087</v>
      </c>
      <c r="G1178" s="12" t="s">
        <v>6088</v>
      </c>
      <c r="H1178" s="12">
        <v>1</v>
      </c>
      <c r="I1178" s="13" t="str">
        <f>HYPERLINK("http://www.ncbi.nlm.nih.gov/gene/11331", "11331")</f>
        <v>11331</v>
      </c>
      <c r="J1178" s="12" t="s">
        <v>18047</v>
      </c>
      <c r="K1178" s="12" t="s">
        <v>18048</v>
      </c>
      <c r="L1178" s="13" t="str">
        <f>HYPERLINK("http://asia.ensembl.org/Homo_sapiens/Gene/Summary?g=ENSG00000215021", "ENSG00000215021")</f>
        <v>ENSG00000215021</v>
      </c>
      <c r="M1178" s="12" t="s">
        <v>18049</v>
      </c>
      <c r="N1178" s="12" t="s">
        <v>18050</v>
      </c>
    </row>
    <row r="1179" spans="1:14">
      <c r="A1179" s="12" t="s">
        <v>11023</v>
      </c>
      <c r="B1179" s="8">
        <v>1282.8693436414501</v>
      </c>
      <c r="C1179" s="12">
        <v>2843.1602549262602</v>
      </c>
      <c r="D1179" s="8">
        <v>-1.14812117512639</v>
      </c>
      <c r="E1179" s="12">
        <v>7.1622985178365595E-4</v>
      </c>
      <c r="F1179" s="8" t="s">
        <v>10243</v>
      </c>
      <c r="G1179" s="12" t="s">
        <v>10244</v>
      </c>
      <c r="H1179" s="12">
        <v>1</v>
      </c>
      <c r="I1179" s="13" t="str">
        <f>HYPERLINK("http://www.ncbi.nlm.nih.gov/gene/2224", "2224")</f>
        <v>2224</v>
      </c>
      <c r="J1179" s="13" t="str">
        <f>HYPERLINK("http://www.ncbi.nlm.nih.gov/nuccore/NM_001135821", "NM_001135821")</f>
        <v>NM_001135821</v>
      </c>
      <c r="K1179" s="12" t="s">
        <v>11024</v>
      </c>
      <c r="L1179" s="13" t="str">
        <f>HYPERLINK("http://asia.ensembl.org/Homo_sapiens/Gene/Summary?g=ENSG00000160752", "ENSG00000160752")</f>
        <v>ENSG00000160752</v>
      </c>
      <c r="M1179" s="12" t="s">
        <v>19620</v>
      </c>
      <c r="N1179" s="12" t="s">
        <v>19621</v>
      </c>
    </row>
    <row r="1180" spans="1:14">
      <c r="A1180" s="12" t="s">
        <v>11638</v>
      </c>
      <c r="B1180" s="8">
        <v>30702.678746809299</v>
      </c>
      <c r="C1180" s="12">
        <v>68031.1288781607</v>
      </c>
      <c r="D1180" s="8">
        <v>-1.1478304954255001</v>
      </c>
      <c r="E1180" s="12">
        <v>5.3035964249437597E-3</v>
      </c>
      <c r="F1180" s="8" t="s">
        <v>11639</v>
      </c>
      <c r="G1180" s="12" t="s">
        <v>20161</v>
      </c>
      <c r="H1180" s="12">
        <v>1</v>
      </c>
      <c r="I1180" s="13" t="str">
        <f>HYPERLINK("http://www.ncbi.nlm.nih.gov/gene/79001", "79001")</f>
        <v>79001</v>
      </c>
      <c r="J1180" s="12" t="s">
        <v>20162</v>
      </c>
      <c r="K1180" s="12" t="s">
        <v>20163</v>
      </c>
      <c r="L1180" s="13" t="str">
        <f>HYPERLINK("http://asia.ensembl.org/Homo_sapiens/Gene/Summary?g=ENSG00000167397", "ENSG00000167397")</f>
        <v>ENSG00000167397</v>
      </c>
      <c r="M1180" s="12" t="s">
        <v>20164</v>
      </c>
      <c r="N1180" s="12" t="s">
        <v>20165</v>
      </c>
    </row>
    <row r="1181" spans="1:14">
      <c r="A1181" s="12" t="s">
        <v>3329</v>
      </c>
      <c r="B1181" s="8">
        <v>4660.4506044262398</v>
      </c>
      <c r="C1181" s="12">
        <v>10326.6236834385</v>
      </c>
      <c r="D1181" s="8">
        <v>-1.1478272819706401</v>
      </c>
      <c r="E1181" s="12">
        <v>1.63404554128272E-2</v>
      </c>
      <c r="F1181" s="8" t="s">
        <v>3330</v>
      </c>
      <c r="G1181" s="12" t="s">
        <v>3331</v>
      </c>
      <c r="H1181" s="12">
        <v>1</v>
      </c>
      <c r="I1181" s="13" t="str">
        <f>HYPERLINK("http://www.ncbi.nlm.nih.gov/gene/51399", "51399")</f>
        <v>51399</v>
      </c>
      <c r="J1181" s="13" t="str">
        <f>HYPERLINK("http://www.ncbi.nlm.nih.gov/nuccore/NM_016146", "NM_016146")</f>
        <v>NM_016146</v>
      </c>
      <c r="K1181" s="12" t="s">
        <v>3332</v>
      </c>
      <c r="L1181" s="13" t="str">
        <f>HYPERLINK("http://asia.ensembl.org/Homo_sapiens/Gene/Summary?g=ENSG00000280495", "ENSG00000280495")</f>
        <v>ENSG00000280495</v>
      </c>
      <c r="M1181" s="12" t="s">
        <v>17279</v>
      </c>
      <c r="N1181" s="12" t="s">
        <v>17280</v>
      </c>
    </row>
    <row r="1182" spans="1:14">
      <c r="A1182" s="12" t="s">
        <v>1416</v>
      </c>
      <c r="B1182" s="8">
        <v>100.944256606305</v>
      </c>
      <c r="C1182" s="12">
        <v>223.66817073851499</v>
      </c>
      <c r="D1182" s="8">
        <v>-1.14780113880059</v>
      </c>
      <c r="E1182" s="12">
        <v>1.6054329286181699E-2</v>
      </c>
      <c r="F1182" s="8" t="s">
        <v>1417</v>
      </c>
      <c r="G1182" s="12" t="s">
        <v>16621</v>
      </c>
      <c r="H1182" s="12">
        <v>1</v>
      </c>
      <c r="I1182" s="13" t="str">
        <f>HYPERLINK("http://www.ncbi.nlm.nih.gov/gene/7476", "7476")</f>
        <v>7476</v>
      </c>
      <c r="J1182" s="13" t="str">
        <f>HYPERLINK("http://www.ncbi.nlm.nih.gov/nuccore/NM_004625", "NM_004625")</f>
        <v>NM_004625</v>
      </c>
      <c r="K1182" s="12" t="s">
        <v>1418</v>
      </c>
      <c r="L1182" s="13" t="str">
        <f>HYPERLINK("http://asia.ensembl.org/Homo_sapiens/Gene/Summary?g=ENSG00000154764", "ENSG00000154764")</f>
        <v>ENSG00000154764</v>
      </c>
      <c r="M1182" s="12" t="s">
        <v>16622</v>
      </c>
      <c r="N1182" s="12" t="s">
        <v>1419</v>
      </c>
    </row>
    <row r="1183" spans="1:14">
      <c r="A1183" s="12" t="s">
        <v>9436</v>
      </c>
      <c r="B1183" s="8">
        <v>49.999999999999901</v>
      </c>
      <c r="C1183" s="12">
        <v>110.741983957488</v>
      </c>
      <c r="D1183" s="8">
        <v>-1.14720227328753</v>
      </c>
      <c r="E1183" s="12">
        <v>3.5702774743032999E-3</v>
      </c>
      <c r="F1183" s="8" t="s">
        <v>9437</v>
      </c>
      <c r="G1183" s="12" t="s">
        <v>19155</v>
      </c>
      <c r="H1183" s="12">
        <v>1</v>
      </c>
      <c r="I1183" s="13" t="str">
        <f>HYPERLINK("http://www.ncbi.nlm.nih.gov/gene/692094", "692094")</f>
        <v>692094</v>
      </c>
      <c r="J1183" s="13" t="str">
        <f>HYPERLINK("http://www.ncbi.nlm.nih.gov/nuccore/NM_001044264", "NM_001044264")</f>
        <v>NM_001044264</v>
      </c>
      <c r="K1183" s="12" t="s">
        <v>9438</v>
      </c>
      <c r="L1183" s="13" t="str">
        <f>HYPERLINK("http://asia.ensembl.org/Homo_sapiens/Gene/Summary?g=ENSG00000215183", "ENSG00000215183")</f>
        <v>ENSG00000215183</v>
      </c>
      <c r="M1183" s="12" t="s">
        <v>19156</v>
      </c>
      <c r="N1183" s="12" t="s">
        <v>9439</v>
      </c>
    </row>
    <row r="1184" spans="1:14">
      <c r="A1184" s="12" t="s">
        <v>10880</v>
      </c>
      <c r="B1184" s="8">
        <v>35240.1065507436</v>
      </c>
      <c r="C1184" s="12">
        <v>78011.290856103995</v>
      </c>
      <c r="D1184" s="8">
        <v>-1.1464646592082399</v>
      </c>
      <c r="E1184" s="12">
        <v>9.0148858465553296E-3</v>
      </c>
      <c r="F1184" s="8" t="s">
        <v>7153</v>
      </c>
      <c r="G1184" s="12" t="s">
        <v>7154</v>
      </c>
      <c r="H1184" s="12">
        <v>1</v>
      </c>
      <c r="I1184" s="13" t="str">
        <f>HYPERLINK("http://www.ncbi.nlm.nih.gov/gene/1163", "1163")</f>
        <v>1163</v>
      </c>
      <c r="J1184" s="12" t="s">
        <v>18390</v>
      </c>
      <c r="K1184" s="12" t="s">
        <v>18391</v>
      </c>
      <c r="L1184" s="13" t="str">
        <f>HYPERLINK("http://asia.ensembl.org/Homo_sapiens/Gene/Summary?g=ENSG00000173207", "ENSG00000173207")</f>
        <v>ENSG00000173207</v>
      </c>
      <c r="M1184" s="12" t="s">
        <v>18392</v>
      </c>
      <c r="N1184" s="12" t="s">
        <v>18393</v>
      </c>
    </row>
    <row r="1185" spans="1:14">
      <c r="A1185" s="12" t="s">
        <v>9802</v>
      </c>
      <c r="B1185" s="8">
        <v>71615.739129488007</v>
      </c>
      <c r="C1185" s="12">
        <v>158530.001883119</v>
      </c>
      <c r="D1185" s="8">
        <v>-1.1464073056431201</v>
      </c>
      <c r="E1185" s="12">
        <v>8.7698508699708601E-3</v>
      </c>
      <c r="F1185" s="8" t="s">
        <v>9803</v>
      </c>
      <c r="G1185" s="12" t="s">
        <v>9804</v>
      </c>
      <c r="H1185" s="12">
        <v>1</v>
      </c>
      <c r="I1185" s="13" t="str">
        <f>HYPERLINK("http://www.ncbi.nlm.nih.gov/gene/2876", "2876")</f>
        <v>2876</v>
      </c>
      <c r="J1185" s="12" t="s">
        <v>19340</v>
      </c>
      <c r="K1185" s="12" t="s">
        <v>19341</v>
      </c>
      <c r="L1185" s="13" t="str">
        <f>HYPERLINK("http://asia.ensembl.org/Homo_sapiens/Gene/Summary?g=ENSG00000233276", "ENSG00000233276")</f>
        <v>ENSG00000233276</v>
      </c>
      <c r="M1185" s="12" t="s">
        <v>19342</v>
      </c>
      <c r="N1185" s="12" t="s">
        <v>19343</v>
      </c>
    </row>
    <row r="1186" spans="1:14">
      <c r="A1186" s="12" t="s">
        <v>5176</v>
      </c>
      <c r="B1186" s="8">
        <v>89951.5063406439</v>
      </c>
      <c r="C1186" s="12">
        <v>199110.593396501</v>
      </c>
      <c r="D1186" s="8">
        <v>-1.1463506332753799</v>
      </c>
      <c r="E1186" s="12">
        <v>6.2629236500658797E-4</v>
      </c>
      <c r="F1186" s="8" t="s">
        <v>5177</v>
      </c>
      <c r="G1186" s="12" t="s">
        <v>5178</v>
      </c>
      <c r="H1186" s="12">
        <v>1</v>
      </c>
      <c r="I1186" s="13" t="str">
        <f>HYPERLINK("http://www.ncbi.nlm.nih.gov/gene/51504", "51504")</f>
        <v>51504</v>
      </c>
      <c r="J1186" s="13" t="str">
        <f>HYPERLINK("http://www.ncbi.nlm.nih.gov/nuccore/NM_016404", "NM_016404")</f>
        <v>NM_016404</v>
      </c>
      <c r="K1186" s="12" t="s">
        <v>5179</v>
      </c>
      <c r="L1186" s="13" t="str">
        <f>HYPERLINK("http://asia.ensembl.org/Homo_sapiens/Gene/Summary?g=ENSG00000173113", "ENSG00000173113")</f>
        <v>ENSG00000173113</v>
      </c>
      <c r="M1186" s="12" t="s">
        <v>17814</v>
      </c>
      <c r="N1186" s="12" t="s">
        <v>17815</v>
      </c>
    </row>
    <row r="1187" spans="1:14">
      <c r="A1187" s="12" t="s">
        <v>7467</v>
      </c>
      <c r="B1187" s="8">
        <v>5807.1834005263399</v>
      </c>
      <c r="C1187" s="12">
        <v>12854.3810550454</v>
      </c>
      <c r="D1187" s="8">
        <v>-1.14634964276184</v>
      </c>
      <c r="E1187" s="12">
        <v>5.5036033823613901E-3</v>
      </c>
      <c r="F1187" s="8" t="s">
        <v>7468</v>
      </c>
      <c r="G1187" s="12" t="s">
        <v>18534</v>
      </c>
      <c r="H1187" s="12">
        <v>1</v>
      </c>
      <c r="I1187" s="13" t="str">
        <f>HYPERLINK("http://www.ncbi.nlm.nih.gov/gene/5147", "5147")</f>
        <v>5147</v>
      </c>
      <c r="J1187" s="13" t="str">
        <f>HYPERLINK("http://www.ncbi.nlm.nih.gov/nuccore/NM_002601", "NM_002601")</f>
        <v>NM_002601</v>
      </c>
      <c r="K1187" s="12" t="s">
        <v>7469</v>
      </c>
      <c r="L1187" s="13" t="str">
        <f>HYPERLINK("http://asia.ensembl.org/Homo_sapiens/Gene/Summary?g=ENSG00000156973", "ENSG00000156973")</f>
        <v>ENSG00000156973</v>
      </c>
      <c r="M1187" s="12" t="s">
        <v>18535</v>
      </c>
      <c r="N1187" s="12" t="s">
        <v>18536</v>
      </c>
    </row>
    <row r="1188" spans="1:14">
      <c r="A1188" s="12" t="s">
        <v>1561</v>
      </c>
      <c r="B1188" s="8">
        <v>137838.322396078</v>
      </c>
      <c r="C1188" s="12">
        <v>305104.21963430702</v>
      </c>
      <c r="D1188" s="8">
        <v>-1.14632508471377</v>
      </c>
      <c r="E1188" s="12">
        <v>6.2686766102994403E-3</v>
      </c>
      <c r="F1188" s="8" t="s">
        <v>1562</v>
      </c>
      <c r="G1188" s="12" t="s">
        <v>15570</v>
      </c>
      <c r="H1188" s="12">
        <v>1</v>
      </c>
      <c r="I1188" s="13" t="str">
        <f>HYPERLINK("http://www.ncbi.nlm.nih.gov/gene/5694", "5694")</f>
        <v>5694</v>
      </c>
      <c r="J1188" s="12" t="s">
        <v>16687</v>
      </c>
      <c r="K1188" s="12" t="s">
        <v>16688</v>
      </c>
      <c r="L1188" s="13" t="str">
        <f>HYPERLINK("http://asia.ensembl.org/Homo_sapiens/Gene/Summary?g=ENSG00000142507", "ENSG00000142507")</f>
        <v>ENSG00000142507</v>
      </c>
      <c r="M1188" s="12" t="s">
        <v>16689</v>
      </c>
      <c r="N1188" s="12" t="s">
        <v>16690</v>
      </c>
    </row>
    <row r="1189" spans="1:14">
      <c r="A1189" s="12" t="s">
        <v>9929</v>
      </c>
      <c r="B1189" s="8">
        <v>585.59601422824005</v>
      </c>
      <c r="C1189" s="12">
        <v>1294.8869498848701</v>
      </c>
      <c r="D1189" s="8">
        <v>-1.1448485096282801</v>
      </c>
      <c r="E1189" s="12">
        <v>8.0014420607083404E-3</v>
      </c>
      <c r="F1189" s="8" t="s">
        <v>2783</v>
      </c>
      <c r="G1189" s="12" t="s">
        <v>2784</v>
      </c>
      <c r="H1189" s="12">
        <v>1</v>
      </c>
      <c r="I1189" s="13" t="str">
        <f>HYPERLINK("http://www.ncbi.nlm.nih.gov/gene/51529", "51529")</f>
        <v>51529</v>
      </c>
      <c r="J1189" s="12" t="s">
        <v>19438</v>
      </c>
      <c r="K1189" s="12" t="s">
        <v>19439</v>
      </c>
      <c r="L1189" s="13" t="str">
        <f>HYPERLINK("http://asia.ensembl.org/Homo_sapiens/Gene/Summary?g=ENSG00000141552", "ENSG00000141552")</f>
        <v>ENSG00000141552</v>
      </c>
      <c r="M1189" s="12" t="s">
        <v>19440</v>
      </c>
      <c r="N1189" s="12" t="s">
        <v>19441</v>
      </c>
    </row>
    <row r="1190" spans="1:14">
      <c r="A1190" s="12" t="s">
        <v>11250</v>
      </c>
      <c r="B1190" s="8">
        <v>132852.098589842</v>
      </c>
      <c r="C1190" s="12">
        <v>293696.25017726602</v>
      </c>
      <c r="D1190" s="8">
        <v>-1.14450382844688</v>
      </c>
      <c r="E1190" s="12">
        <v>7.3652291568029396E-3</v>
      </c>
      <c r="F1190" s="8" t="s">
        <v>3763</v>
      </c>
      <c r="G1190" s="12" t="s">
        <v>3764</v>
      </c>
      <c r="H1190" s="12">
        <v>4</v>
      </c>
      <c r="I1190" s="12" t="s">
        <v>3765</v>
      </c>
      <c r="J1190" s="12" t="s">
        <v>3766</v>
      </c>
      <c r="K1190" s="12" t="s">
        <v>3767</v>
      </c>
      <c r="L1190" s="12" t="s">
        <v>3768</v>
      </c>
      <c r="M1190" s="12" t="s">
        <v>17415</v>
      </c>
      <c r="N1190" s="12" t="s">
        <v>17416</v>
      </c>
    </row>
    <row r="1191" spans="1:14">
      <c r="A1191" s="12" t="s">
        <v>6512</v>
      </c>
      <c r="B1191" s="8">
        <v>29318.869148415401</v>
      </c>
      <c r="C1191" s="12">
        <v>64810.938902644099</v>
      </c>
      <c r="D1191" s="8">
        <v>-1.1444078755568099</v>
      </c>
      <c r="E1191" s="12">
        <v>2.6949199740641999E-2</v>
      </c>
      <c r="F1191" s="8" t="s">
        <v>6513</v>
      </c>
      <c r="G1191" s="12" t="s">
        <v>18197</v>
      </c>
      <c r="H1191" s="12">
        <v>1</v>
      </c>
      <c r="I1191" s="13" t="str">
        <f>HYPERLINK("http://www.ncbi.nlm.nih.gov/gene/1544", "1544")</f>
        <v>1544</v>
      </c>
      <c r="J1191" s="13" t="str">
        <f>HYPERLINK("http://www.ncbi.nlm.nih.gov/nuccore/NM_000761", "NM_000761")</f>
        <v>NM_000761</v>
      </c>
      <c r="K1191" s="12" t="s">
        <v>6514</v>
      </c>
      <c r="L1191" s="13" t="str">
        <f>HYPERLINK("http://asia.ensembl.org/Homo_sapiens/Gene/Summary?g=ENSG00000140505", "ENSG00000140505")</f>
        <v>ENSG00000140505</v>
      </c>
      <c r="M1191" s="12" t="s">
        <v>6515</v>
      </c>
      <c r="N1191" s="12" t="s">
        <v>6516</v>
      </c>
    </row>
    <row r="1192" spans="1:14">
      <c r="A1192" s="12" t="s">
        <v>8525</v>
      </c>
      <c r="B1192" s="8">
        <v>1841.7074272043301</v>
      </c>
      <c r="C1192" s="12">
        <v>4070.8175778314799</v>
      </c>
      <c r="D1192" s="8">
        <v>-1.14427467887111</v>
      </c>
      <c r="E1192" s="12">
        <v>5.4913461334012304E-3</v>
      </c>
      <c r="F1192" s="8" t="s">
        <v>4385</v>
      </c>
      <c r="G1192" s="12" t="s">
        <v>4386</v>
      </c>
      <c r="H1192" s="12">
        <v>1</v>
      </c>
      <c r="I1192" s="13" t="str">
        <f>HYPERLINK("http://www.ncbi.nlm.nih.gov/gene/10016", "10016")</f>
        <v>10016</v>
      </c>
      <c r="J1192" s="12" t="s">
        <v>18870</v>
      </c>
      <c r="K1192" s="12" t="s">
        <v>18871</v>
      </c>
      <c r="L1192" s="13" t="str">
        <f>HYPERLINK("http://asia.ensembl.org/Homo_sapiens/Gene/Summary?g=ENSG00000249915", "ENSG00000249915")</f>
        <v>ENSG00000249915</v>
      </c>
      <c r="M1192" s="12" t="s">
        <v>17676</v>
      </c>
      <c r="N1192" s="12" t="s">
        <v>17677</v>
      </c>
    </row>
    <row r="1193" spans="1:14">
      <c r="A1193" s="12" t="s">
        <v>1888</v>
      </c>
      <c r="B1193" s="8">
        <v>2857.4378910851701</v>
      </c>
      <c r="C1193" s="12">
        <v>6315.09092229612</v>
      </c>
      <c r="D1193" s="8">
        <v>-1.1440813650007</v>
      </c>
      <c r="E1193" s="12">
        <v>3.4008380512869601E-3</v>
      </c>
      <c r="F1193" s="8" t="s">
        <v>1889</v>
      </c>
      <c r="G1193" s="12" t="s">
        <v>1890</v>
      </c>
      <c r="H1193" s="12">
        <v>1</v>
      </c>
      <c r="I1193" s="13" t="str">
        <f>HYPERLINK("http://www.ncbi.nlm.nih.gov/gene/132299", "132299")</f>
        <v>132299</v>
      </c>
      <c r="J1193" s="12" t="s">
        <v>16826</v>
      </c>
      <c r="K1193" s="12" t="s">
        <v>16827</v>
      </c>
      <c r="L1193" s="13" t="str">
        <f>HYPERLINK("http://asia.ensembl.org/Homo_sapiens/Gene/Summary?g=ENSG00000145247", "ENSG00000145247")</f>
        <v>ENSG00000145247</v>
      </c>
      <c r="M1193" s="12" t="s">
        <v>16828</v>
      </c>
      <c r="N1193" s="12" t="s">
        <v>16829</v>
      </c>
    </row>
    <row r="1194" spans="1:14">
      <c r="A1194" s="12" t="s">
        <v>9946</v>
      </c>
      <c r="B1194" s="8">
        <v>29456.586040964499</v>
      </c>
      <c r="C1194" s="12">
        <v>65077.288254966799</v>
      </c>
      <c r="D1194" s="8">
        <v>-1.1435639011165499</v>
      </c>
      <c r="E1194" s="12">
        <v>4.0417992567660802E-3</v>
      </c>
      <c r="F1194" s="8" t="s">
        <v>1849</v>
      </c>
      <c r="G1194" s="12" t="s">
        <v>1850</v>
      </c>
      <c r="H1194" s="12">
        <v>1</v>
      </c>
      <c r="I1194" s="13" t="str">
        <f>HYPERLINK("http://www.ncbi.nlm.nih.gov/gene/11065", "11065")</f>
        <v>11065</v>
      </c>
      <c r="J1194" s="12" t="s">
        <v>19458</v>
      </c>
      <c r="K1194" s="12" t="s">
        <v>19459</v>
      </c>
      <c r="L1194" s="13" t="str">
        <f>HYPERLINK("http://asia.ensembl.org/Homo_sapiens/Gene/Summary?g=ENSG00000175063", "ENSG00000175063")</f>
        <v>ENSG00000175063</v>
      </c>
      <c r="M1194" s="12" t="s">
        <v>19460</v>
      </c>
      <c r="N1194" s="12" t="s">
        <v>19461</v>
      </c>
    </row>
    <row r="1195" spans="1:14">
      <c r="A1195" s="12" t="s">
        <v>10932</v>
      </c>
      <c r="B1195" s="8">
        <v>47016.189203882597</v>
      </c>
      <c r="C1195" s="12">
        <v>103861.096376338</v>
      </c>
      <c r="D1195" s="8">
        <v>-1.1434258456680699</v>
      </c>
      <c r="E1195" s="12">
        <v>8.4631671633797392E-3</v>
      </c>
      <c r="F1195" s="8" t="s">
        <v>10933</v>
      </c>
      <c r="G1195" s="12" t="s">
        <v>10934</v>
      </c>
      <c r="H1195" s="12">
        <v>1</v>
      </c>
      <c r="I1195" s="13" t="str">
        <f>HYPERLINK("http://www.ncbi.nlm.nih.gov/gene/387082", "387082")</f>
        <v>387082</v>
      </c>
      <c r="J1195" s="13" t="str">
        <f>HYPERLINK("http://www.ncbi.nlm.nih.gov/nuccore/NM_001002255", "NM_001002255")</f>
        <v>NM_001002255</v>
      </c>
      <c r="K1195" s="12" t="s">
        <v>10935</v>
      </c>
      <c r="L1195" s="13" t="str">
        <f>HYPERLINK("http://asia.ensembl.org/Homo_sapiens/Gene/Summary?g=ENSG00000177688", "ENSG00000177688")</f>
        <v>ENSG00000177688</v>
      </c>
      <c r="M1195" s="12" t="s">
        <v>10936</v>
      </c>
      <c r="N1195" s="12" t="s">
        <v>10937</v>
      </c>
    </row>
    <row r="1196" spans="1:14">
      <c r="A1196" s="12" t="s">
        <v>4512</v>
      </c>
      <c r="B1196" s="8">
        <v>2689.1361647448398</v>
      </c>
      <c r="C1196" s="12">
        <v>5940.1263569615603</v>
      </c>
      <c r="D1196" s="8">
        <v>-1.1433508119162901</v>
      </c>
      <c r="E1196" s="12">
        <v>7.8145065321691305E-3</v>
      </c>
      <c r="F1196" s="8" t="s">
        <v>4513</v>
      </c>
      <c r="G1196" s="12" t="s">
        <v>4514</v>
      </c>
      <c r="H1196" s="12">
        <v>1</v>
      </c>
      <c r="I1196" s="13" t="str">
        <f>HYPERLINK("http://www.ncbi.nlm.nih.gov/gene/79685", "79685")</f>
        <v>79685</v>
      </c>
      <c r="J1196" s="12" t="s">
        <v>17701</v>
      </c>
      <c r="K1196" s="12" t="s">
        <v>17702</v>
      </c>
      <c r="L1196" s="13" t="str">
        <f>HYPERLINK("http://asia.ensembl.org/Homo_sapiens/Gene/Summary?g=ENSG00000164576", "ENSG00000164576")</f>
        <v>ENSG00000164576</v>
      </c>
      <c r="M1196" s="12" t="s">
        <v>17703</v>
      </c>
      <c r="N1196" s="12" t="s">
        <v>17704</v>
      </c>
    </row>
    <row r="1197" spans="1:14">
      <c r="A1197" s="12" t="s">
        <v>10097</v>
      </c>
      <c r="B1197" s="8">
        <v>163.51582296396199</v>
      </c>
      <c r="C1197" s="12">
        <v>361.18763471047498</v>
      </c>
      <c r="D1197" s="8">
        <v>-1.1433182548769401</v>
      </c>
      <c r="E1197" s="12">
        <v>2.4903096544184201E-3</v>
      </c>
      <c r="F1197" s="8" t="s">
        <v>3030</v>
      </c>
      <c r="G1197" s="12" t="s">
        <v>3031</v>
      </c>
      <c r="H1197" s="12">
        <v>1</v>
      </c>
      <c r="I1197" s="13" t="str">
        <f>HYPERLINK("http://www.ncbi.nlm.nih.gov/gene/26086", "26086")</f>
        <v>26086</v>
      </c>
      <c r="J1197" s="13" t="str">
        <f>HYPERLINK("http://www.ncbi.nlm.nih.gov/nuccore/NM_015597", "NM_015597")</f>
        <v>NM_015597</v>
      </c>
      <c r="K1197" s="12" t="s">
        <v>10098</v>
      </c>
      <c r="L1197" s="13" t="str">
        <f>HYPERLINK("http://asia.ensembl.org/Homo_sapiens/Gene/Summary?g=ENSG00000160360", "ENSG00000160360")</f>
        <v>ENSG00000160360</v>
      </c>
      <c r="M1197" s="12" t="s">
        <v>19536</v>
      </c>
      <c r="N1197" s="12" t="s">
        <v>19537</v>
      </c>
    </row>
    <row r="1198" spans="1:14">
      <c r="A1198" s="12" t="s">
        <v>3235</v>
      </c>
      <c r="B1198" s="8">
        <v>1043.2078364346</v>
      </c>
      <c r="C1198" s="12">
        <v>2303.2803567175301</v>
      </c>
      <c r="D1198" s="8">
        <v>-1.1426634155065301</v>
      </c>
      <c r="E1198" s="12">
        <v>6.3859781543485301E-3</v>
      </c>
      <c r="F1198" s="8" t="s">
        <v>3236</v>
      </c>
      <c r="G1198" s="12" t="s">
        <v>3237</v>
      </c>
      <c r="H1198" s="12">
        <v>1</v>
      </c>
      <c r="I1198" s="13" t="str">
        <f>HYPERLINK("http://www.ncbi.nlm.nih.gov/gene/91355", "91355")</f>
        <v>91355</v>
      </c>
      <c r="J1198" s="12" t="s">
        <v>17251</v>
      </c>
      <c r="K1198" s="12" t="s">
        <v>17252</v>
      </c>
      <c r="L1198" s="13" t="str">
        <f>HYPERLINK("http://asia.ensembl.org/Homo_sapiens/Gene/Summary?g=ENSG00000100068", "ENSG00000100068")</f>
        <v>ENSG00000100068</v>
      </c>
      <c r="M1198" s="12" t="s">
        <v>17253</v>
      </c>
      <c r="N1198" s="12" t="s">
        <v>17254</v>
      </c>
    </row>
    <row r="1199" spans="1:14">
      <c r="A1199" s="12" t="s">
        <v>9067</v>
      </c>
      <c r="B1199" s="8">
        <v>72457.840950733007</v>
      </c>
      <c r="C1199" s="12">
        <v>159948.02149355799</v>
      </c>
      <c r="D1199" s="8">
        <v>-1.1423894237799499</v>
      </c>
      <c r="E1199" s="12">
        <v>1.2125903214183701E-2</v>
      </c>
      <c r="F1199" s="8" t="s">
        <v>673</v>
      </c>
      <c r="G1199" s="12" t="s">
        <v>286</v>
      </c>
      <c r="H1199" s="12">
        <v>1</v>
      </c>
      <c r="I1199" s="13" t="str">
        <f>HYPERLINK("http://www.ncbi.nlm.nih.gov/gene/4715", "4715")</f>
        <v>4715</v>
      </c>
      <c r="J1199" s="13" t="str">
        <f>HYPERLINK("http://www.ncbi.nlm.nih.gov/nuccore/NM_005005", "NM_005005")</f>
        <v>NM_005005</v>
      </c>
      <c r="K1199" s="12" t="s">
        <v>674</v>
      </c>
      <c r="L1199" s="13" t="str">
        <f>HYPERLINK("http://asia.ensembl.org/Homo_sapiens/Gene/Summary?g=ENSG00000147684", "ENSG00000147684")</f>
        <v>ENSG00000147684</v>
      </c>
      <c r="M1199" s="12" t="s">
        <v>16415</v>
      </c>
      <c r="N1199" s="12" t="s">
        <v>16416</v>
      </c>
    </row>
    <row r="1200" spans="1:14">
      <c r="A1200" s="12" t="s">
        <v>7802</v>
      </c>
      <c r="B1200" s="8">
        <v>49.999999999999901</v>
      </c>
      <c r="C1200" s="12">
        <v>110.35679328099999</v>
      </c>
      <c r="D1200" s="8">
        <v>-1.14217544095557</v>
      </c>
      <c r="E1200" s="12">
        <v>2.9721584277913101E-2</v>
      </c>
      <c r="F1200" s="8" t="s">
        <v>7803</v>
      </c>
      <c r="G1200" s="12" t="s">
        <v>7804</v>
      </c>
      <c r="H1200" s="12">
        <v>1</v>
      </c>
      <c r="I1200" s="13" t="str">
        <f>HYPERLINK("http://www.ncbi.nlm.nih.gov/gene/440101", "440101")</f>
        <v>440101</v>
      </c>
      <c r="J1200" s="13" t="str">
        <f>HYPERLINK("http://www.ncbi.nlm.nih.gov/nuccore/NR_026655", "NR_026655")</f>
        <v>NR_026655</v>
      </c>
      <c r="K1200" s="12" t="s">
        <v>199</v>
      </c>
      <c r="L1200" s="13" t="str">
        <f>HYPERLINK("http://asia.ensembl.org/Homo_sapiens/Gene/Summary?g=ENSG00000248265", "ENSG00000248265")</f>
        <v>ENSG00000248265</v>
      </c>
      <c r="M1200" s="12" t="s">
        <v>7805</v>
      </c>
    </row>
    <row r="1201" spans="1:14">
      <c r="A1201" s="12" t="s">
        <v>11724</v>
      </c>
      <c r="B1201" s="8">
        <v>67.859647725026207</v>
      </c>
      <c r="C1201" s="12">
        <v>149.68480694868001</v>
      </c>
      <c r="D1201" s="8">
        <v>-1.14130194904171</v>
      </c>
      <c r="E1201" s="12">
        <v>1.1651329280031601E-2</v>
      </c>
      <c r="F1201" s="8" t="s">
        <v>38</v>
      </c>
      <c r="G1201" s="12" t="s">
        <v>38</v>
      </c>
      <c r="H1201" s="12">
        <v>1</v>
      </c>
      <c r="I1201" s="12" t="s">
        <v>38</v>
      </c>
      <c r="J1201" s="12" t="s">
        <v>38</v>
      </c>
      <c r="K1201" s="12" t="s">
        <v>38</v>
      </c>
      <c r="L1201" s="13" t="str">
        <f>HYPERLINK("http://asia.ensembl.org/Homo_sapiens/Gene/Summary?g=ENSG00000269891", "ENSG00000269891")</f>
        <v>ENSG00000269891</v>
      </c>
      <c r="M1201" s="12" t="s">
        <v>11725</v>
      </c>
      <c r="N1201" s="12" t="s">
        <v>11726</v>
      </c>
    </row>
    <row r="1202" spans="1:14">
      <c r="A1202" s="12" t="s">
        <v>4131</v>
      </c>
      <c r="B1202" s="8">
        <v>1833.50259768452</v>
      </c>
      <c r="C1202" s="12">
        <v>4044.2936819714</v>
      </c>
      <c r="D1202" s="8">
        <v>-1.1412854542937301</v>
      </c>
      <c r="E1202" s="12">
        <v>3.50387454649775E-3</v>
      </c>
      <c r="F1202" s="8" t="s">
        <v>4132</v>
      </c>
      <c r="G1202" s="12" t="s">
        <v>4133</v>
      </c>
      <c r="H1202" s="12">
        <v>1</v>
      </c>
      <c r="I1202" s="13" t="str">
        <f>HYPERLINK("http://www.ncbi.nlm.nih.gov/gene/79629", "79629")</f>
        <v>79629</v>
      </c>
      <c r="J1202" s="13" t="str">
        <f>HYPERLINK("http://www.ncbi.nlm.nih.gov/nuccore/NM_024578", "NM_024578")</f>
        <v>NM_024578</v>
      </c>
      <c r="K1202" s="12" t="s">
        <v>4134</v>
      </c>
      <c r="L1202" s="13" t="str">
        <f>HYPERLINK("http://asia.ensembl.org/Homo_sapiens/Gene/Summary?g=ENSG00000099330", "ENSG00000099330")</f>
        <v>ENSG00000099330</v>
      </c>
      <c r="M1202" s="12" t="s">
        <v>17572</v>
      </c>
      <c r="N1202" s="12" t="s">
        <v>17573</v>
      </c>
    </row>
    <row r="1203" spans="1:14">
      <c r="A1203" s="12" t="s">
        <v>11665</v>
      </c>
      <c r="B1203" s="8">
        <v>29526.991338373398</v>
      </c>
      <c r="C1203" s="12">
        <v>65116.697471425097</v>
      </c>
      <c r="D1203" s="8">
        <v>-1.1409931720662101</v>
      </c>
      <c r="E1203" s="12">
        <v>1.4583676137791899E-3</v>
      </c>
      <c r="F1203" s="8" t="s">
        <v>11633</v>
      </c>
      <c r="G1203" s="12" t="s">
        <v>11666</v>
      </c>
      <c r="H1203" s="12">
        <v>1</v>
      </c>
      <c r="I1203" s="13" t="str">
        <f>HYPERLINK("http://www.ncbi.nlm.nih.gov/gene/8508", "8508")</f>
        <v>8508</v>
      </c>
      <c r="J1203" s="12" t="s">
        <v>20180</v>
      </c>
      <c r="K1203" s="12" t="s">
        <v>20181</v>
      </c>
      <c r="L1203" s="13" t="str">
        <f>HYPERLINK("http://asia.ensembl.org/Homo_sapiens/Gene/Summary?g=ENSG00000184117", "ENSG00000184117")</f>
        <v>ENSG00000184117</v>
      </c>
      <c r="M1203" s="12" t="s">
        <v>20155</v>
      </c>
      <c r="N1203" s="12" t="s">
        <v>20156</v>
      </c>
    </row>
    <row r="1204" spans="1:14">
      <c r="A1204" s="12" t="s">
        <v>7528</v>
      </c>
      <c r="B1204" s="8">
        <v>9354.3496515061197</v>
      </c>
      <c r="C1204" s="12">
        <v>20627.7704183764</v>
      </c>
      <c r="D1204" s="8">
        <v>-1.1408786332794001</v>
      </c>
      <c r="E1204" s="12">
        <v>1.21453899595571E-2</v>
      </c>
      <c r="F1204" s="8" t="s">
        <v>2106</v>
      </c>
      <c r="G1204" s="12" t="s">
        <v>2107</v>
      </c>
      <c r="H1204" s="12">
        <v>1</v>
      </c>
      <c r="I1204" s="13" t="str">
        <f>HYPERLINK("http://www.ncbi.nlm.nih.gov/gene/64963", "64963")</f>
        <v>64963</v>
      </c>
      <c r="J1204" s="12" t="s">
        <v>18557</v>
      </c>
      <c r="K1204" s="12" t="s">
        <v>18558</v>
      </c>
      <c r="L1204" s="13" t="str">
        <f>HYPERLINK("http://asia.ensembl.org/Homo_sapiens/Gene/Summary?g=ENSG00000181991", "ENSG00000181991")</f>
        <v>ENSG00000181991</v>
      </c>
      <c r="M1204" s="12" t="s">
        <v>16923</v>
      </c>
      <c r="N1204" s="12" t="s">
        <v>16924</v>
      </c>
    </row>
    <row r="1205" spans="1:14">
      <c r="A1205" s="12" t="s">
        <v>8233</v>
      </c>
      <c r="B1205" s="8">
        <v>2144.1869285595699</v>
      </c>
      <c r="C1205" s="12">
        <v>4727.7890274605497</v>
      </c>
      <c r="D1205" s="8">
        <v>-1.1407349739081201</v>
      </c>
      <c r="E1205" s="12">
        <v>4.6026777397495302E-3</v>
      </c>
      <c r="F1205" s="8" t="s">
        <v>3404</v>
      </c>
      <c r="G1205" s="12" t="s">
        <v>3405</v>
      </c>
      <c r="H1205" s="12">
        <v>1</v>
      </c>
      <c r="I1205" s="13" t="str">
        <f>HYPERLINK("http://www.ncbi.nlm.nih.gov/gene/56993", "56993")</f>
        <v>56993</v>
      </c>
      <c r="J1205" s="13" t="str">
        <f>HYPERLINK("http://www.ncbi.nlm.nih.gov/nuccore/NM_020243", "NM_020243")</f>
        <v>NM_020243</v>
      </c>
      <c r="K1205" s="12" t="s">
        <v>3406</v>
      </c>
      <c r="L1205" s="13" t="str">
        <f>HYPERLINK("http://asia.ensembl.org/Homo_sapiens/Gene/Summary?g=ENSG00000100216", "ENSG00000100216")</f>
        <v>ENSG00000100216</v>
      </c>
      <c r="M1205" s="12" t="s">
        <v>18749</v>
      </c>
      <c r="N1205" s="12" t="s">
        <v>3407</v>
      </c>
    </row>
    <row r="1206" spans="1:14">
      <c r="A1206" s="12" t="s">
        <v>6390</v>
      </c>
      <c r="B1206" s="8">
        <v>5692.7984027681796</v>
      </c>
      <c r="C1206" s="12">
        <v>12550.489815520101</v>
      </c>
      <c r="D1206" s="8">
        <v>-1.1405337541499101</v>
      </c>
      <c r="E1206" s="12">
        <v>5.9809236969868302E-3</v>
      </c>
      <c r="F1206" s="8" t="s">
        <v>6391</v>
      </c>
      <c r="G1206" s="12" t="s">
        <v>3064</v>
      </c>
      <c r="H1206" s="12">
        <v>1</v>
      </c>
      <c r="I1206" s="13" t="str">
        <f>HYPERLINK("http://www.ncbi.nlm.nih.gov/gene/57804", "57804")</f>
        <v>57804</v>
      </c>
      <c r="J1206" s="12" t="s">
        <v>18142</v>
      </c>
      <c r="K1206" s="12" t="s">
        <v>18143</v>
      </c>
      <c r="L1206" s="13" t="str">
        <f>HYPERLINK("http://asia.ensembl.org/Homo_sapiens/Gene/Summary?g=ENSG00000175482", "ENSG00000175482")</f>
        <v>ENSG00000175482</v>
      </c>
      <c r="M1206" s="12" t="s">
        <v>18144</v>
      </c>
      <c r="N1206" s="12" t="s">
        <v>18145</v>
      </c>
    </row>
    <row r="1207" spans="1:14">
      <c r="A1207" s="12" t="s">
        <v>7480</v>
      </c>
      <c r="B1207" s="8">
        <v>338.61896219080802</v>
      </c>
      <c r="C1207" s="12">
        <v>746.48229872185698</v>
      </c>
      <c r="D1207" s="8">
        <v>-1.14044528583639</v>
      </c>
      <c r="E1207" s="12">
        <v>4.8635045419119401E-3</v>
      </c>
      <c r="F1207" s="8" t="s">
        <v>7481</v>
      </c>
      <c r="G1207" s="12" t="s">
        <v>18545</v>
      </c>
      <c r="H1207" s="12">
        <v>1</v>
      </c>
      <c r="I1207" s="13" t="str">
        <f>HYPERLINK("http://www.ncbi.nlm.nih.gov/gene/8357", "8357")</f>
        <v>8357</v>
      </c>
      <c r="J1207" s="13" t="str">
        <f>HYPERLINK("http://www.ncbi.nlm.nih.gov/nuccore/NM_003536", "NM_003536")</f>
        <v>NM_003536</v>
      </c>
      <c r="K1207" s="12" t="s">
        <v>7482</v>
      </c>
      <c r="L1207" s="13" t="str">
        <f>HYPERLINK("http://asia.ensembl.org/Homo_sapiens/Gene/Summary?g=ENSG00000278828", "ENSG00000278828")</f>
        <v>ENSG00000278828</v>
      </c>
      <c r="M1207" s="12" t="s">
        <v>7483</v>
      </c>
      <c r="N1207" s="12" t="s">
        <v>7484</v>
      </c>
    </row>
    <row r="1208" spans="1:14">
      <c r="A1208" s="12" t="s">
        <v>5608</v>
      </c>
      <c r="B1208" s="8">
        <v>11333.236014721801</v>
      </c>
      <c r="C1208" s="12">
        <v>24983.153160313399</v>
      </c>
      <c r="D1208" s="8">
        <v>-1.14039571583115</v>
      </c>
      <c r="E1208" s="12">
        <v>6.6006304675647002E-4</v>
      </c>
      <c r="F1208" s="8" t="s">
        <v>5609</v>
      </c>
      <c r="G1208" s="12" t="s">
        <v>5610</v>
      </c>
      <c r="H1208" s="12">
        <v>1</v>
      </c>
      <c r="I1208" s="13" t="str">
        <f>HYPERLINK("http://www.ncbi.nlm.nih.gov/gene/84324", "84324")</f>
        <v>84324</v>
      </c>
      <c r="J1208" s="12" t="s">
        <v>17918</v>
      </c>
      <c r="K1208" s="12" t="s">
        <v>17919</v>
      </c>
      <c r="L1208" s="13" t="str">
        <f>HYPERLINK("http://asia.ensembl.org/Homo_sapiens/Gene/Summary?g=ENSG00000205323", "ENSG00000205323")</f>
        <v>ENSG00000205323</v>
      </c>
      <c r="M1208" s="12" t="s">
        <v>17920</v>
      </c>
      <c r="N1208" s="12" t="s">
        <v>17921</v>
      </c>
    </row>
    <row r="1209" spans="1:14">
      <c r="A1209" s="12" t="s">
        <v>8048</v>
      </c>
      <c r="B1209" s="8">
        <v>64981.607772588002</v>
      </c>
      <c r="C1209" s="12">
        <v>143244.731278197</v>
      </c>
      <c r="D1209" s="8">
        <v>-1.14037873148553</v>
      </c>
      <c r="E1209" s="12">
        <v>1.15204311720428E-2</v>
      </c>
      <c r="F1209" s="8" t="s">
        <v>7019</v>
      </c>
      <c r="G1209" s="12" t="s">
        <v>7020</v>
      </c>
      <c r="H1209" s="12">
        <v>1</v>
      </c>
      <c r="I1209" s="13" t="str">
        <f>HYPERLINK("http://www.ncbi.nlm.nih.gov/gene/6124", "6124")</f>
        <v>6124</v>
      </c>
      <c r="J1209" s="13" t="str">
        <f>HYPERLINK("http://www.ncbi.nlm.nih.gov/nuccore/NM_000968", "NM_000968")</f>
        <v>NM_000968</v>
      </c>
      <c r="K1209" s="12" t="s">
        <v>7021</v>
      </c>
      <c r="L1209" s="13" t="str">
        <f>HYPERLINK("http://asia.ensembl.org/Homo_sapiens/Gene/Summary?g=ENSG00000174444", "ENSG00000174444")</f>
        <v>ENSG00000174444</v>
      </c>
      <c r="M1209" s="12" t="s">
        <v>18339</v>
      </c>
      <c r="N1209" s="12" t="s">
        <v>18340</v>
      </c>
    </row>
    <row r="1210" spans="1:14">
      <c r="A1210" s="12" t="s">
        <v>10847</v>
      </c>
      <c r="B1210" s="8">
        <v>11157.897914717199</v>
      </c>
      <c r="C1210" s="12">
        <v>24592.051221508002</v>
      </c>
      <c r="D1210" s="8">
        <v>-1.14012681793358</v>
      </c>
      <c r="E1210" s="12">
        <v>4.8589078251552904E-3</v>
      </c>
      <c r="F1210" s="8" t="s">
        <v>10848</v>
      </c>
      <c r="G1210" s="12" t="s">
        <v>10849</v>
      </c>
      <c r="H1210" s="12">
        <v>4</v>
      </c>
      <c r="I1210" s="12" t="s">
        <v>10850</v>
      </c>
      <c r="J1210" s="12" t="s">
        <v>19880</v>
      </c>
      <c r="K1210" s="12" t="s">
        <v>19881</v>
      </c>
      <c r="L1210" s="13" t="str">
        <f>HYPERLINK("http://asia.ensembl.org/Homo_sapiens/Gene/Summary?g=ENSG00000244274", "ENSG00000244274")</f>
        <v>ENSG00000244274</v>
      </c>
      <c r="M1210" s="12" t="s">
        <v>19882</v>
      </c>
      <c r="N1210" s="12" t="s">
        <v>19883</v>
      </c>
    </row>
    <row r="1211" spans="1:14">
      <c r="A1211" s="12" t="s">
        <v>2047</v>
      </c>
      <c r="B1211" s="8">
        <v>7676.9540221285597</v>
      </c>
      <c r="C1211" s="12">
        <v>16918.946655267398</v>
      </c>
      <c r="D1211" s="8">
        <v>-1.14003383869882</v>
      </c>
      <c r="E1211" s="12">
        <v>9.9738353057926693E-3</v>
      </c>
      <c r="F1211" s="8" t="s">
        <v>2048</v>
      </c>
      <c r="G1211" s="12" t="s">
        <v>2049</v>
      </c>
      <c r="H1211" s="12">
        <v>1</v>
      </c>
      <c r="I1211" s="13" t="str">
        <f>HYPERLINK("http://www.ncbi.nlm.nih.gov/gene/51065", "51065")</f>
        <v>51065</v>
      </c>
      <c r="J1211" s="13" t="str">
        <f>HYPERLINK("http://www.ncbi.nlm.nih.gov/nuccore/NM_015920", "NM_015920")</f>
        <v>NM_015920</v>
      </c>
      <c r="K1211" s="12" t="s">
        <v>2050</v>
      </c>
      <c r="L1211" s="13" t="str">
        <f>HYPERLINK("http://asia.ensembl.org/Homo_sapiens/Gene/Summary?g=ENSG00000185088", "ENSG00000185088")</f>
        <v>ENSG00000185088</v>
      </c>
      <c r="M1211" s="12" t="s">
        <v>16897</v>
      </c>
      <c r="N1211" s="12" t="s">
        <v>16898</v>
      </c>
    </row>
    <row r="1212" spans="1:14">
      <c r="A1212" s="12" t="s">
        <v>311</v>
      </c>
      <c r="B1212" s="8">
        <v>64.206778176545896</v>
      </c>
      <c r="C1212" s="12">
        <v>141.49528677364401</v>
      </c>
      <c r="D1212" s="8">
        <v>-1.1399564846722401</v>
      </c>
      <c r="E1212" s="12">
        <v>3.2349149813180302E-2</v>
      </c>
      <c r="F1212" s="8" t="s">
        <v>312</v>
      </c>
      <c r="G1212" s="12" t="s">
        <v>313</v>
      </c>
      <c r="H1212" s="12">
        <v>1</v>
      </c>
      <c r="I1212" s="13" t="str">
        <f>HYPERLINK("http://www.ncbi.nlm.nih.gov/gene/8178", "8178")</f>
        <v>8178</v>
      </c>
      <c r="J1212" s="13" t="str">
        <f>HYPERLINK("http://www.ncbi.nlm.nih.gov/nuccore/NM_006532", "NM_006532")</f>
        <v>NM_006532</v>
      </c>
      <c r="K1212" s="12" t="s">
        <v>314</v>
      </c>
      <c r="L1212" s="13" t="str">
        <f>HYPERLINK("http://asia.ensembl.org/Homo_sapiens/Gene/Summary?g=ENSG00000105656", "ENSG00000105656")</f>
        <v>ENSG00000105656</v>
      </c>
      <c r="M1212" s="12" t="s">
        <v>16309</v>
      </c>
      <c r="N1212" s="12" t="s">
        <v>16310</v>
      </c>
    </row>
    <row r="1213" spans="1:14">
      <c r="A1213" s="12" t="s">
        <v>8468</v>
      </c>
      <c r="B1213" s="8">
        <v>743.90271940842194</v>
      </c>
      <c r="C1213" s="12">
        <v>1638.85768770863</v>
      </c>
      <c r="D1213" s="8">
        <v>-1.13950470490749</v>
      </c>
      <c r="E1213" s="12">
        <v>4.8571949165203696E-3</v>
      </c>
      <c r="F1213" s="8" t="s">
        <v>2742</v>
      </c>
      <c r="G1213" s="12" t="s">
        <v>1216</v>
      </c>
      <c r="H1213" s="12">
        <v>1</v>
      </c>
      <c r="I1213" s="13" t="str">
        <f>HYPERLINK("http://www.ncbi.nlm.nih.gov/gene/5423", "5423")</f>
        <v>5423</v>
      </c>
      <c r="J1213" s="13" t="str">
        <f>HYPERLINK("http://www.ncbi.nlm.nih.gov/nuccore/NM_002690", "NM_002690")</f>
        <v>NM_002690</v>
      </c>
      <c r="K1213" s="12" t="s">
        <v>2743</v>
      </c>
      <c r="L1213" s="13" t="str">
        <f>HYPERLINK("http://asia.ensembl.org/Homo_sapiens/Gene/Summary?g=ENSG00000070501", "ENSG00000070501")</f>
        <v>ENSG00000070501</v>
      </c>
      <c r="M1213" s="12" t="s">
        <v>18854</v>
      </c>
      <c r="N1213" s="12" t="s">
        <v>18855</v>
      </c>
    </row>
    <row r="1214" spans="1:14">
      <c r="A1214" s="12" t="s">
        <v>3074</v>
      </c>
      <c r="B1214" s="8">
        <v>55.310327053380902</v>
      </c>
      <c r="C1214" s="12">
        <v>121.81967794651599</v>
      </c>
      <c r="D1214" s="8">
        <v>-1.1391264175639799</v>
      </c>
      <c r="E1214" s="12">
        <v>2.8738374211135499E-2</v>
      </c>
      <c r="F1214" s="8" t="s">
        <v>3075</v>
      </c>
      <c r="G1214" s="12" t="s">
        <v>3076</v>
      </c>
      <c r="H1214" s="12">
        <v>1</v>
      </c>
      <c r="I1214" s="13" t="str">
        <f>HYPERLINK("http://www.ncbi.nlm.nih.gov/gene/151", "151")</f>
        <v>151</v>
      </c>
      <c r="J1214" s="13" t="str">
        <f>HYPERLINK("http://www.ncbi.nlm.nih.gov/nuccore/NM_000682", "NM_000682")</f>
        <v>NM_000682</v>
      </c>
      <c r="K1214" s="12" t="s">
        <v>3077</v>
      </c>
      <c r="L1214" s="13" t="str">
        <f>HYPERLINK("http://asia.ensembl.org/Homo_sapiens/Gene/Summary?g=ENSG00000274286", "ENSG00000274286")</f>
        <v>ENSG00000274286</v>
      </c>
      <c r="M1214" s="12" t="s">
        <v>3078</v>
      </c>
      <c r="N1214" s="12" t="s">
        <v>3079</v>
      </c>
    </row>
    <row r="1215" spans="1:14">
      <c r="A1215" s="12" t="s">
        <v>1016</v>
      </c>
      <c r="B1215" s="8">
        <v>346.29277931885099</v>
      </c>
      <c r="C1215" s="12">
        <v>762.69383643485901</v>
      </c>
      <c r="D1215" s="8">
        <v>-1.1391117352682101</v>
      </c>
      <c r="E1215" s="12">
        <v>8.4876707961601006E-3</v>
      </c>
      <c r="F1215" s="8" t="s">
        <v>1017</v>
      </c>
      <c r="G1215" s="12" t="s">
        <v>1018</v>
      </c>
      <c r="H1215" s="12">
        <v>1</v>
      </c>
      <c r="I1215" s="13" t="str">
        <f>HYPERLINK("http://www.ncbi.nlm.nih.gov/gene/59271", "59271")</f>
        <v>59271</v>
      </c>
      <c r="J1215" s="13" t="str">
        <f>HYPERLINK("http://www.ncbi.nlm.nih.gov/nuccore/NM_058187", "NM_058187")</f>
        <v>NM_058187</v>
      </c>
      <c r="K1215" s="12" t="s">
        <v>1019</v>
      </c>
      <c r="L1215" s="13" t="str">
        <f>HYPERLINK("http://asia.ensembl.org/Homo_sapiens/Gene/Summary?g=ENSG00000166979", "ENSG00000166979")</f>
        <v>ENSG00000166979</v>
      </c>
      <c r="M1215" s="12" t="s">
        <v>16491</v>
      </c>
      <c r="N1215" s="12" t="s">
        <v>16492</v>
      </c>
    </row>
    <row r="1216" spans="1:14">
      <c r="A1216" s="12" t="s">
        <v>141</v>
      </c>
      <c r="B1216" s="8">
        <v>50</v>
      </c>
      <c r="C1216" s="12">
        <v>110.109993784412</v>
      </c>
      <c r="D1216" s="8">
        <v>-1.1389454164852999</v>
      </c>
      <c r="E1216" s="12">
        <v>2.2066095074930701E-3</v>
      </c>
      <c r="F1216" s="8" t="s">
        <v>142</v>
      </c>
      <c r="G1216" s="12" t="s">
        <v>143</v>
      </c>
      <c r="H1216" s="12">
        <v>1</v>
      </c>
      <c r="I1216" s="13" t="str">
        <f>HYPERLINK("http://www.ncbi.nlm.nih.gov/gene/6736", "6736")</f>
        <v>6736</v>
      </c>
      <c r="J1216" s="13" t="str">
        <f>HYPERLINK("http://www.ncbi.nlm.nih.gov/nuccore/NM_003140", "NM_003140")</f>
        <v>NM_003140</v>
      </c>
      <c r="K1216" s="12" t="s">
        <v>144</v>
      </c>
      <c r="L1216" s="13" t="str">
        <f>HYPERLINK("http://asia.ensembl.org/Homo_sapiens/Gene/Summary?g=ENSG00000184895", "ENSG00000184895")</f>
        <v>ENSG00000184895</v>
      </c>
      <c r="M1216" s="12" t="s">
        <v>145</v>
      </c>
      <c r="N1216" s="12" t="s">
        <v>146</v>
      </c>
    </row>
    <row r="1217" spans="1:14">
      <c r="A1217" s="12" t="s">
        <v>7900</v>
      </c>
      <c r="B1217" s="8">
        <v>6319.5081478132897</v>
      </c>
      <c r="C1217" s="12">
        <v>13916.552610139899</v>
      </c>
      <c r="D1217" s="8">
        <v>-1.1389176911340599</v>
      </c>
      <c r="E1217" s="12">
        <v>2.3225728103600301E-3</v>
      </c>
      <c r="F1217" s="8" t="s">
        <v>5504</v>
      </c>
      <c r="G1217" s="12" t="s">
        <v>5505</v>
      </c>
      <c r="H1217" s="12">
        <v>1</v>
      </c>
      <c r="I1217" s="13" t="str">
        <f>HYPERLINK("http://www.ncbi.nlm.nih.gov/gene/126208", "126208")</f>
        <v>126208</v>
      </c>
      <c r="J1217" s="13" t="str">
        <f>HYPERLINK("http://www.ncbi.nlm.nih.gov/nuccore/NM_001002836", "NM_001002836")</f>
        <v>NM_001002836</v>
      </c>
      <c r="K1217" s="12" t="s">
        <v>5506</v>
      </c>
      <c r="L1217" s="13" t="str">
        <f>HYPERLINK("http://asia.ensembl.org/Homo_sapiens/Gene/Summary?g=ENSG00000142409", "ENSG00000142409")</f>
        <v>ENSG00000142409</v>
      </c>
      <c r="M1217" s="12" t="s">
        <v>17887</v>
      </c>
      <c r="N1217" s="12" t="s">
        <v>17888</v>
      </c>
    </row>
    <row r="1218" spans="1:14">
      <c r="A1218" s="12" t="s">
        <v>7683</v>
      </c>
      <c r="B1218" s="8">
        <v>1122.3630546319</v>
      </c>
      <c r="C1218" s="12">
        <v>2471.2779136755698</v>
      </c>
      <c r="D1218" s="8">
        <v>-1.1387178366714601</v>
      </c>
      <c r="E1218" s="12">
        <v>5.41468066891382E-3</v>
      </c>
      <c r="F1218" s="8" t="s">
        <v>3067</v>
      </c>
      <c r="G1218" s="12" t="s">
        <v>3068</v>
      </c>
      <c r="H1218" s="12">
        <v>1</v>
      </c>
      <c r="I1218" s="13" t="str">
        <f>HYPERLINK("http://www.ncbi.nlm.nih.gov/gene/57447", "57447")</f>
        <v>57447</v>
      </c>
      <c r="J1218" s="12" t="s">
        <v>17194</v>
      </c>
      <c r="K1218" s="12" t="s">
        <v>17195</v>
      </c>
      <c r="L1218" s="13" t="str">
        <f>HYPERLINK("http://asia.ensembl.org/Homo_sapiens/Gene/Summary?g=ENSG00000165795", "ENSG00000165795")</f>
        <v>ENSG00000165795</v>
      </c>
      <c r="M1218" s="12" t="s">
        <v>17196</v>
      </c>
      <c r="N1218" s="12" t="s">
        <v>17197</v>
      </c>
    </row>
    <row r="1219" spans="1:14">
      <c r="A1219" s="12" t="s">
        <v>428</v>
      </c>
      <c r="B1219" s="8">
        <v>60.260415196157403</v>
      </c>
      <c r="C1219" s="12">
        <v>132.668027166401</v>
      </c>
      <c r="D1219" s="8">
        <v>-1.1385382065494101</v>
      </c>
      <c r="E1219" s="12">
        <v>1.05096972739427E-2</v>
      </c>
      <c r="F1219" s="8" t="s">
        <v>429</v>
      </c>
      <c r="G1219" s="12" t="s">
        <v>16327</v>
      </c>
      <c r="H1219" s="12">
        <v>1</v>
      </c>
      <c r="I1219" s="13" t="str">
        <f>HYPERLINK("http://www.ncbi.nlm.nih.gov/gene/8997", "8997")</f>
        <v>8997</v>
      </c>
      <c r="J1219" s="13" t="str">
        <f>HYPERLINK("http://www.ncbi.nlm.nih.gov/nuccore/NM_003947", "NM_003947")</f>
        <v>NM_003947</v>
      </c>
      <c r="K1219" s="12" t="s">
        <v>430</v>
      </c>
      <c r="L1219" s="13" t="str">
        <f>HYPERLINK("http://asia.ensembl.org/Homo_sapiens/Gene/Summary?g=ENSG00000160145", "ENSG00000160145")</f>
        <v>ENSG00000160145</v>
      </c>
      <c r="M1219" s="12" t="s">
        <v>16328</v>
      </c>
      <c r="N1219" s="12" t="s">
        <v>16329</v>
      </c>
    </row>
    <row r="1220" spans="1:14">
      <c r="A1220" s="12" t="s">
        <v>5862</v>
      </c>
      <c r="B1220" s="8">
        <v>230.60872423474601</v>
      </c>
      <c r="C1220" s="12">
        <v>507.525477017105</v>
      </c>
      <c r="D1220" s="8">
        <v>-1.1380331521467499</v>
      </c>
      <c r="E1220" s="12">
        <v>7.9556166588893305E-4</v>
      </c>
      <c r="F1220" s="8" t="s">
        <v>5863</v>
      </c>
      <c r="G1220" s="12" t="s">
        <v>5864</v>
      </c>
      <c r="H1220" s="12">
        <v>1</v>
      </c>
      <c r="I1220" s="13" t="str">
        <f>HYPERLINK("http://www.ncbi.nlm.nih.gov/gene/54964", "54964")</f>
        <v>54964</v>
      </c>
      <c r="J1220" s="13" t="str">
        <f>HYPERLINK("http://www.ncbi.nlm.nih.gov/nuccore/NM_017860", "NM_017860")</f>
        <v>NM_017860</v>
      </c>
      <c r="K1220" s="12" t="s">
        <v>5865</v>
      </c>
      <c r="L1220" s="13" t="str">
        <f>HYPERLINK("http://asia.ensembl.org/Homo_sapiens/Gene/Summary?g=ENSG00000143443", "ENSG00000143443")</f>
        <v>ENSG00000143443</v>
      </c>
      <c r="M1220" s="12" t="s">
        <v>17997</v>
      </c>
      <c r="N1220" s="12" t="s">
        <v>5866</v>
      </c>
    </row>
    <row r="1221" spans="1:14">
      <c r="A1221" s="12" t="s">
        <v>9733</v>
      </c>
      <c r="B1221" s="8">
        <v>17179.532876621299</v>
      </c>
      <c r="C1221" s="12">
        <v>37808.204622757497</v>
      </c>
      <c r="D1221" s="8">
        <v>-1.1380085333586101</v>
      </c>
      <c r="E1221" s="12">
        <v>6.82999807140236E-3</v>
      </c>
      <c r="F1221" s="8" t="s">
        <v>9734</v>
      </c>
      <c r="G1221" s="12" t="s">
        <v>19283</v>
      </c>
      <c r="H1221" s="12">
        <v>1</v>
      </c>
      <c r="I1221" s="13" t="str">
        <f>HYPERLINK("http://www.ncbi.nlm.nih.gov/gene/51367", "51367")</f>
        <v>51367</v>
      </c>
      <c r="J1221" s="12" t="s">
        <v>19284</v>
      </c>
      <c r="K1221" s="12" t="s">
        <v>19285</v>
      </c>
      <c r="L1221" s="13" t="str">
        <f>HYPERLINK("http://asia.ensembl.org/Homo_sapiens/Gene/Summary?g=ENSG00000167272", "ENSG00000167272")</f>
        <v>ENSG00000167272</v>
      </c>
      <c r="M1221" s="12" t="s">
        <v>19286</v>
      </c>
      <c r="N1221" s="12" t="s">
        <v>19287</v>
      </c>
    </row>
    <row r="1222" spans="1:14">
      <c r="A1222" s="12" t="s">
        <v>10273</v>
      </c>
      <c r="B1222" s="8">
        <v>130.51623842517799</v>
      </c>
      <c r="C1222" s="12">
        <v>287.22852733332701</v>
      </c>
      <c r="D1222" s="8">
        <v>-1.13796973012365</v>
      </c>
      <c r="E1222" s="12">
        <v>1.17435316623119E-2</v>
      </c>
      <c r="F1222" s="8" t="s">
        <v>10274</v>
      </c>
      <c r="G1222" s="12" t="s">
        <v>19645</v>
      </c>
      <c r="H1222" s="12">
        <v>1</v>
      </c>
      <c r="I1222" s="13" t="str">
        <f>HYPERLINK("http://www.ncbi.nlm.nih.gov/gene/6331", "6331")</f>
        <v>6331</v>
      </c>
      <c r="J1222" s="12" t="s">
        <v>19646</v>
      </c>
      <c r="K1222" s="12" t="s">
        <v>19647</v>
      </c>
      <c r="L1222" s="13" t="str">
        <f>HYPERLINK("http://asia.ensembl.org/Homo_sapiens/Gene/Summary?g=ENSG00000183873", "ENSG00000183873")</f>
        <v>ENSG00000183873</v>
      </c>
      <c r="M1222" s="12" t="s">
        <v>19648</v>
      </c>
      <c r="N1222" s="12" t="s">
        <v>19649</v>
      </c>
    </row>
    <row r="1223" spans="1:14">
      <c r="A1223" s="12" t="s">
        <v>1390</v>
      </c>
      <c r="B1223" s="8">
        <v>455.90536835615302</v>
      </c>
      <c r="C1223" s="12">
        <v>1003.21463514589</v>
      </c>
      <c r="D1223" s="8">
        <v>-1.13782399742967</v>
      </c>
      <c r="E1223" s="12">
        <v>4.2203139286839299E-4</v>
      </c>
      <c r="F1223" s="8" t="s">
        <v>1391</v>
      </c>
      <c r="G1223" s="12" t="s">
        <v>16605</v>
      </c>
      <c r="H1223" s="12">
        <v>1</v>
      </c>
      <c r="I1223" s="13" t="str">
        <f>HYPERLINK("http://www.ncbi.nlm.nih.gov/gene/1535", "1535")</f>
        <v>1535</v>
      </c>
      <c r="J1223" s="13" t="str">
        <f>HYPERLINK("http://www.ncbi.nlm.nih.gov/nuccore/NM_000101", "NM_000101")</f>
        <v>NM_000101</v>
      </c>
      <c r="K1223" s="12" t="s">
        <v>1392</v>
      </c>
      <c r="L1223" s="13" t="str">
        <f>HYPERLINK("http://asia.ensembl.org/Homo_sapiens/Gene/Summary?g=ENSG00000051523", "ENSG00000051523")</f>
        <v>ENSG00000051523</v>
      </c>
      <c r="M1223" s="12" t="s">
        <v>16606</v>
      </c>
      <c r="N1223" s="12" t="s">
        <v>16607</v>
      </c>
    </row>
    <row r="1224" spans="1:14">
      <c r="A1224" s="12" t="s">
        <v>7806</v>
      </c>
      <c r="B1224" s="8">
        <v>5245.3722352327904</v>
      </c>
      <c r="C1224" s="12">
        <v>11542.350993395001</v>
      </c>
      <c r="D1224" s="8">
        <v>-1.13782004627344</v>
      </c>
      <c r="E1224" s="12">
        <v>9.6494976332987797E-3</v>
      </c>
      <c r="F1224" s="8" t="s">
        <v>3738</v>
      </c>
      <c r="G1224" s="12" t="s">
        <v>18641</v>
      </c>
      <c r="H1224" s="12">
        <v>1</v>
      </c>
      <c r="I1224" s="13" t="str">
        <f>HYPERLINK("http://www.ncbi.nlm.nih.gov/gene/155066", "155066")</f>
        <v>155066</v>
      </c>
      <c r="J1224" s="12" t="s">
        <v>18642</v>
      </c>
      <c r="K1224" s="12" t="s">
        <v>18643</v>
      </c>
      <c r="L1224" s="13" t="str">
        <f>HYPERLINK("http://asia.ensembl.org/Homo_sapiens/Gene/Summary?g=ENSG00000171130", "ENSG00000171130")</f>
        <v>ENSG00000171130</v>
      </c>
      <c r="M1224" s="12" t="s">
        <v>18644</v>
      </c>
      <c r="N1224" s="12" t="s">
        <v>18645</v>
      </c>
    </row>
    <row r="1225" spans="1:14">
      <c r="A1225" s="12" t="s">
        <v>2109</v>
      </c>
      <c r="B1225" s="8">
        <v>5914.0353385340304</v>
      </c>
      <c r="C1225" s="12">
        <v>13012.0044888786</v>
      </c>
      <c r="D1225" s="8">
        <v>-1.13762845596284</v>
      </c>
      <c r="E1225" s="12">
        <v>1.14609627993614E-2</v>
      </c>
      <c r="F1225" s="8" t="s">
        <v>2110</v>
      </c>
      <c r="G1225" s="12" t="s">
        <v>2111</v>
      </c>
      <c r="H1225" s="12">
        <v>1</v>
      </c>
      <c r="I1225" s="13" t="str">
        <f>HYPERLINK("http://www.ncbi.nlm.nih.gov/gene/81618", "81618")</f>
        <v>81618</v>
      </c>
      <c r="J1225" s="12" t="s">
        <v>16925</v>
      </c>
      <c r="K1225" s="12" t="s">
        <v>16926</v>
      </c>
      <c r="L1225" s="13" t="str">
        <f>HYPERLINK("http://asia.ensembl.org/Homo_sapiens/Gene/Summary?g=ENSG00000135916", "ENSG00000135916")</f>
        <v>ENSG00000135916</v>
      </c>
      <c r="M1225" s="12" t="s">
        <v>16927</v>
      </c>
      <c r="N1225" s="12" t="s">
        <v>16928</v>
      </c>
    </row>
    <row r="1226" spans="1:14">
      <c r="A1226" s="12" t="s">
        <v>7169</v>
      </c>
      <c r="B1226" s="8">
        <v>37150.472566096701</v>
      </c>
      <c r="C1226" s="12">
        <v>81729.755933142704</v>
      </c>
      <c r="D1226" s="8">
        <v>-1.1374808638170799</v>
      </c>
      <c r="E1226" s="12">
        <v>1.3665973692856199E-2</v>
      </c>
      <c r="F1226" s="8" t="s">
        <v>7170</v>
      </c>
      <c r="G1226" s="12" t="s">
        <v>7171</v>
      </c>
      <c r="H1226" s="12">
        <v>1</v>
      </c>
      <c r="I1226" s="13" t="str">
        <f>HYPERLINK("http://www.ncbi.nlm.nih.gov/gene/6208", "6208")</f>
        <v>6208</v>
      </c>
      <c r="J1226" s="13" t="str">
        <f>HYPERLINK("http://www.ncbi.nlm.nih.gov/nuccore/NM_005617", "NM_005617")</f>
        <v>NM_005617</v>
      </c>
      <c r="K1226" s="12" t="s">
        <v>7172</v>
      </c>
      <c r="L1226" s="13" t="str">
        <f>HYPERLINK("http://asia.ensembl.org/Homo_sapiens/Gene/Summary?g=ENSG00000164587", "ENSG00000164587")</f>
        <v>ENSG00000164587</v>
      </c>
      <c r="M1226" s="12" t="s">
        <v>18396</v>
      </c>
      <c r="N1226" s="12" t="s">
        <v>18397</v>
      </c>
    </row>
    <row r="1227" spans="1:14">
      <c r="A1227" s="12" t="s">
        <v>3268</v>
      </c>
      <c r="B1227" s="8">
        <v>505.33660337068397</v>
      </c>
      <c r="C1227" s="12">
        <v>1111.5138270659299</v>
      </c>
      <c r="D1227" s="8">
        <v>-1.1372093068776501</v>
      </c>
      <c r="E1227" s="12">
        <v>5.3542149790344797E-3</v>
      </c>
      <c r="F1227" s="8" t="s">
        <v>3269</v>
      </c>
      <c r="G1227" s="12" t="s">
        <v>17264</v>
      </c>
      <c r="H1227" s="12">
        <v>1</v>
      </c>
      <c r="I1227" s="13" t="str">
        <f>HYPERLINK("http://www.ncbi.nlm.nih.gov/gene/10279", "10279")</f>
        <v>10279</v>
      </c>
      <c r="J1227" s="13" t="str">
        <f>HYPERLINK("http://www.ncbi.nlm.nih.gov/nuccore/NM_005865", "NM_005865")</f>
        <v>NM_005865</v>
      </c>
      <c r="K1227" s="12" t="s">
        <v>3270</v>
      </c>
      <c r="L1227" s="13" t="str">
        <f>HYPERLINK("http://asia.ensembl.org/Homo_sapiens/Gene/Summary?g=ENSG00000112812", "ENSG00000112812")</f>
        <v>ENSG00000112812</v>
      </c>
      <c r="M1227" s="12" t="s">
        <v>17265</v>
      </c>
      <c r="N1227" s="12" t="s">
        <v>17266</v>
      </c>
    </row>
    <row r="1228" spans="1:14">
      <c r="A1228" s="12" t="s">
        <v>1951</v>
      </c>
      <c r="B1228" s="8">
        <v>634.73680189731795</v>
      </c>
      <c r="C1228" s="12">
        <v>1395.9152881612999</v>
      </c>
      <c r="D1228" s="8">
        <v>-1.13698099621886</v>
      </c>
      <c r="E1228" s="12">
        <v>5.5998990921606196E-3</v>
      </c>
      <c r="F1228" s="8" t="s">
        <v>1952</v>
      </c>
      <c r="G1228" s="12" t="s">
        <v>1953</v>
      </c>
      <c r="H1228" s="12">
        <v>1</v>
      </c>
      <c r="I1228" s="13" t="str">
        <f>HYPERLINK("http://www.ncbi.nlm.nih.gov/gene/367", "367")</f>
        <v>367</v>
      </c>
      <c r="J1228" s="12" t="s">
        <v>16850</v>
      </c>
      <c r="K1228" s="12" t="s">
        <v>16851</v>
      </c>
      <c r="L1228" s="13" t="str">
        <f>HYPERLINK("http://asia.ensembl.org/Homo_sapiens/Gene/Summary?g=ENSG00000169083", "ENSG00000169083")</f>
        <v>ENSG00000169083</v>
      </c>
      <c r="M1228" s="12" t="s">
        <v>16852</v>
      </c>
      <c r="N1228" s="12" t="s">
        <v>16853</v>
      </c>
    </row>
    <row r="1229" spans="1:14">
      <c r="A1229" s="12" t="s">
        <v>1245</v>
      </c>
      <c r="B1229" s="8">
        <v>367.067329781355</v>
      </c>
      <c r="C1229" s="12">
        <v>807.16397649480496</v>
      </c>
      <c r="D1229" s="8">
        <v>-1.1368170733270899</v>
      </c>
      <c r="E1229" s="12">
        <v>1.1534119678309599E-3</v>
      </c>
      <c r="F1229" s="8" t="s">
        <v>1246</v>
      </c>
      <c r="G1229" s="12" t="s">
        <v>1247</v>
      </c>
      <c r="H1229" s="12">
        <v>1</v>
      </c>
      <c r="I1229" s="13" t="str">
        <f>HYPERLINK("http://www.ncbi.nlm.nih.gov/gene/84688", "84688")</f>
        <v>84688</v>
      </c>
      <c r="J1229" s="12" t="s">
        <v>16554</v>
      </c>
      <c r="K1229" s="12" t="s">
        <v>16555</v>
      </c>
      <c r="L1229" s="13" t="str">
        <f>HYPERLINK("http://asia.ensembl.org/Homo_sapiens/Gene/Summary?g=ENSG00000164972", "ENSG00000164972")</f>
        <v>ENSG00000164972</v>
      </c>
      <c r="M1229" s="12" t="s">
        <v>16556</v>
      </c>
      <c r="N1229" s="12" t="s">
        <v>16557</v>
      </c>
    </row>
    <row r="1230" spans="1:14">
      <c r="A1230" s="12" t="s">
        <v>8321</v>
      </c>
      <c r="B1230" s="8">
        <v>7446.2961147366004</v>
      </c>
      <c r="C1230" s="12">
        <v>16373.154428022701</v>
      </c>
      <c r="D1230" s="8">
        <v>-1.13673740242425</v>
      </c>
      <c r="E1230" s="12">
        <v>1.03235829935884E-2</v>
      </c>
      <c r="F1230" s="8" t="s">
        <v>274</v>
      </c>
      <c r="G1230" s="12" t="s">
        <v>275</v>
      </c>
      <c r="H1230" s="12">
        <v>1</v>
      </c>
      <c r="I1230" s="13" t="str">
        <f>HYPERLINK("http://www.ncbi.nlm.nih.gov/gene/3692", "3692")</f>
        <v>3692</v>
      </c>
      <c r="J1230" s="12" t="s">
        <v>18787</v>
      </c>
      <c r="K1230" s="12" t="s">
        <v>18788</v>
      </c>
      <c r="L1230" s="13" t="str">
        <f>HYPERLINK("http://asia.ensembl.org/Homo_sapiens/Gene/Summary?g=ENSG00000242372", "ENSG00000242372")</f>
        <v>ENSG00000242372</v>
      </c>
      <c r="M1230" s="12" t="s">
        <v>18789</v>
      </c>
      <c r="N1230" s="12" t="s">
        <v>18790</v>
      </c>
    </row>
    <row r="1231" spans="1:14">
      <c r="A1231" s="12" t="s">
        <v>2151</v>
      </c>
      <c r="B1231" s="8">
        <v>19570.731431616099</v>
      </c>
      <c r="C1231" s="12">
        <v>43030.082789823799</v>
      </c>
      <c r="D1231" s="8">
        <v>-1.13664794013676</v>
      </c>
      <c r="E1231" s="12">
        <v>1.3508025618666901E-2</v>
      </c>
      <c r="F1231" s="8" t="s">
        <v>2152</v>
      </c>
      <c r="G1231" s="12" t="s">
        <v>2153</v>
      </c>
      <c r="H1231" s="12">
        <v>1</v>
      </c>
      <c r="I1231" s="13" t="str">
        <f>HYPERLINK("http://www.ncbi.nlm.nih.gov/gene/152217", "152217")</f>
        <v>152217</v>
      </c>
      <c r="J1231" s="13" t="str">
        <f>HYPERLINK("http://www.ncbi.nlm.nih.gov/nuccore/NR_024388", "NR_024388")</f>
        <v>NR_024388</v>
      </c>
      <c r="K1231" s="12" t="s">
        <v>199</v>
      </c>
      <c r="L1231" s="12" t="s">
        <v>38</v>
      </c>
      <c r="M1231" s="12" t="s">
        <v>38</v>
      </c>
      <c r="N1231" s="12" t="s">
        <v>38</v>
      </c>
    </row>
    <row r="1232" spans="1:14">
      <c r="A1232" s="12" t="s">
        <v>9812</v>
      </c>
      <c r="B1232" s="8">
        <v>990.91020126560397</v>
      </c>
      <c r="C1232" s="12">
        <v>2178.6853607187199</v>
      </c>
      <c r="D1232" s="8">
        <v>-1.1366316339023499</v>
      </c>
      <c r="E1232" s="12">
        <v>5.2654691223793402E-3</v>
      </c>
      <c r="F1232" s="8" t="s">
        <v>1461</v>
      </c>
      <c r="G1232" s="12" t="s">
        <v>1462</v>
      </c>
      <c r="H1232" s="12">
        <v>1</v>
      </c>
      <c r="I1232" s="13" t="str">
        <f>HYPERLINK("http://www.ncbi.nlm.nih.gov/gene/10439", "10439")</f>
        <v>10439</v>
      </c>
      <c r="J1232" s="13" t="str">
        <f>HYPERLINK("http://www.ncbi.nlm.nih.gov/nuccore/NM_014279", "NM_014279")</f>
        <v>NM_014279</v>
      </c>
      <c r="K1232" s="12" t="s">
        <v>1463</v>
      </c>
      <c r="L1232" s="13" t="str">
        <f>HYPERLINK("http://asia.ensembl.org/Homo_sapiens/Gene/Summary?g=ENSG00000130558", "ENSG00000130558")</f>
        <v>ENSG00000130558</v>
      </c>
      <c r="M1232" s="12" t="s">
        <v>19348</v>
      </c>
      <c r="N1232" s="12" t="s">
        <v>19349</v>
      </c>
    </row>
    <row r="1233" spans="1:14">
      <c r="A1233" s="12" t="s">
        <v>641</v>
      </c>
      <c r="B1233" s="8">
        <v>2819.3236633225201</v>
      </c>
      <c r="C1233" s="12">
        <v>6197.7416309359996</v>
      </c>
      <c r="D1233" s="8">
        <v>-1.13639350231507</v>
      </c>
      <c r="E1233" s="12">
        <v>1.03336974627708E-2</v>
      </c>
      <c r="F1233" s="8" t="s">
        <v>642</v>
      </c>
      <c r="G1233" s="12" t="s">
        <v>643</v>
      </c>
      <c r="H1233" s="12">
        <v>1</v>
      </c>
      <c r="I1233" s="13" t="str">
        <f>HYPERLINK("http://www.ncbi.nlm.nih.gov/gene/9553", "9553")</f>
        <v>9553</v>
      </c>
      <c r="J1233" s="13" t="str">
        <f>HYPERLINK("http://www.ncbi.nlm.nih.gov/nuccore/NM_004891", "NM_004891")</f>
        <v>NM_004891</v>
      </c>
      <c r="K1233" s="12" t="s">
        <v>644</v>
      </c>
      <c r="L1233" s="13" t="str">
        <f>HYPERLINK("http://asia.ensembl.org/Homo_sapiens/Gene/Summary?g=ENSG00000243147", "ENSG00000243147")</f>
        <v>ENSG00000243147</v>
      </c>
      <c r="M1233" s="12" t="s">
        <v>16401</v>
      </c>
      <c r="N1233" s="12" t="s">
        <v>16402</v>
      </c>
    </row>
    <row r="1234" spans="1:14">
      <c r="A1234" s="12" t="s">
        <v>3999</v>
      </c>
      <c r="B1234" s="8">
        <v>714.50000449611503</v>
      </c>
      <c r="C1234" s="12">
        <v>1570.3911412821501</v>
      </c>
      <c r="D1234" s="8">
        <v>-1.1361180140548901</v>
      </c>
      <c r="E1234" s="12">
        <v>5.38324557097173E-3</v>
      </c>
      <c r="F1234" s="8" t="s">
        <v>4000</v>
      </c>
      <c r="G1234" s="12" t="s">
        <v>4001</v>
      </c>
      <c r="H1234" s="12">
        <v>1</v>
      </c>
      <c r="I1234" s="13" t="str">
        <f>HYPERLINK("http://www.ncbi.nlm.nih.gov/gene/222068", "222068")</f>
        <v>222068</v>
      </c>
      <c r="J1234" s="13" t="str">
        <f>HYPERLINK("http://www.ncbi.nlm.nih.gov/nuccore/NM_182547", "NM_182547")</f>
        <v>NM_182547</v>
      </c>
      <c r="K1234" s="12" t="s">
        <v>4002</v>
      </c>
      <c r="L1234" s="13" t="str">
        <f>HYPERLINK("http://asia.ensembl.org/Homo_sapiens/Gene/Summary?g=ENSG00000158604", "ENSG00000158604")</f>
        <v>ENSG00000158604</v>
      </c>
      <c r="M1234" s="12" t="s">
        <v>17513</v>
      </c>
      <c r="N1234" s="12" t="s">
        <v>17514</v>
      </c>
    </row>
    <row r="1235" spans="1:14">
      <c r="A1235" s="12" t="s">
        <v>4185</v>
      </c>
      <c r="B1235" s="8">
        <v>13875.4702237742</v>
      </c>
      <c r="C1235" s="12">
        <v>30489.4267566298</v>
      </c>
      <c r="D1235" s="8">
        <v>-1.1357723623698399</v>
      </c>
      <c r="E1235" s="12">
        <v>8.2498993672488804E-3</v>
      </c>
      <c r="F1235" s="8" t="s">
        <v>4186</v>
      </c>
      <c r="G1235" s="12" t="s">
        <v>17606</v>
      </c>
      <c r="H1235" s="12">
        <v>1</v>
      </c>
      <c r="I1235" s="13" t="str">
        <f>HYPERLINK("http://www.ncbi.nlm.nih.gov/gene/5827", "5827")</f>
        <v>5827</v>
      </c>
      <c r="J1235" s="13" t="str">
        <f>HYPERLINK("http://www.ncbi.nlm.nih.gov/nuccore/NM_018663", "NM_018663")</f>
        <v>NM_018663</v>
      </c>
      <c r="K1235" s="12" t="s">
        <v>4187</v>
      </c>
      <c r="L1235" s="13" t="str">
        <f>HYPERLINK("http://asia.ensembl.org/Homo_sapiens/Gene/Summary?g=ENSG00000176894", "ENSG00000176894")</f>
        <v>ENSG00000176894</v>
      </c>
      <c r="M1235" s="12" t="s">
        <v>17607</v>
      </c>
      <c r="N1235" s="12" t="s">
        <v>17608</v>
      </c>
    </row>
    <row r="1236" spans="1:14">
      <c r="A1236" s="12" t="s">
        <v>8449</v>
      </c>
      <c r="B1236" s="8">
        <v>409.57427484226798</v>
      </c>
      <c r="C1236" s="12">
        <v>899.85091980202003</v>
      </c>
      <c r="D1236" s="8">
        <v>-1.1355609036905701</v>
      </c>
      <c r="E1236" s="12">
        <v>1.85436439179676E-2</v>
      </c>
      <c r="F1236" s="8" t="s">
        <v>8450</v>
      </c>
      <c r="G1236" s="12" t="s">
        <v>18844</v>
      </c>
      <c r="H1236" s="12">
        <v>1</v>
      </c>
      <c r="I1236" s="13" t="str">
        <f>HYPERLINK("http://www.ncbi.nlm.nih.gov/gene/8970", "8970")</f>
        <v>8970</v>
      </c>
      <c r="J1236" s="13" t="str">
        <f>HYPERLINK("http://www.ncbi.nlm.nih.gov/nuccore/NM_021058", "NM_021058")</f>
        <v>NM_021058</v>
      </c>
      <c r="K1236" s="12" t="s">
        <v>8451</v>
      </c>
      <c r="L1236" s="13" t="str">
        <f>HYPERLINK("http://asia.ensembl.org/Homo_sapiens/Gene/Summary?g=ENSG00000124635", "ENSG00000124635")</f>
        <v>ENSG00000124635</v>
      </c>
      <c r="M1236" s="12" t="s">
        <v>18845</v>
      </c>
      <c r="N1236" s="12" t="s">
        <v>18846</v>
      </c>
    </row>
    <row r="1237" spans="1:14">
      <c r="A1237" s="12" t="s">
        <v>5879</v>
      </c>
      <c r="B1237" s="8">
        <v>1896.0098817190101</v>
      </c>
      <c r="C1237" s="12">
        <v>4165.4506681416797</v>
      </c>
      <c r="D1237" s="8">
        <v>-1.13550610862831</v>
      </c>
      <c r="E1237" s="12">
        <v>1.67451125701269E-3</v>
      </c>
      <c r="F1237" s="8" t="s">
        <v>5880</v>
      </c>
      <c r="G1237" s="12" t="s">
        <v>5881</v>
      </c>
      <c r="H1237" s="12">
        <v>1</v>
      </c>
      <c r="I1237" s="13" t="str">
        <f>HYPERLINK("http://www.ncbi.nlm.nih.gov/gene/2067", "2067")</f>
        <v>2067</v>
      </c>
      <c r="J1237" s="13" t="str">
        <f>HYPERLINK("http://www.ncbi.nlm.nih.gov/nuccore/NM_202001", "NM_202001")</f>
        <v>NM_202001</v>
      </c>
      <c r="K1237" s="12" t="s">
        <v>5882</v>
      </c>
      <c r="L1237" s="13" t="str">
        <f>HYPERLINK("http://asia.ensembl.org/Homo_sapiens/Gene/Summary?g=ENSG00000012061", "ENSG00000012061")</f>
        <v>ENSG00000012061</v>
      </c>
      <c r="M1237" s="12" t="s">
        <v>17998</v>
      </c>
      <c r="N1237" s="12" t="s">
        <v>17999</v>
      </c>
    </row>
    <row r="1238" spans="1:14">
      <c r="A1238" s="12" t="s">
        <v>6431</v>
      </c>
      <c r="B1238" s="8">
        <v>2577.82533739983</v>
      </c>
      <c r="C1238" s="12">
        <v>5661.1602428364204</v>
      </c>
      <c r="D1238" s="8">
        <v>-1.1349432445981</v>
      </c>
      <c r="E1238" s="12">
        <v>6.83912486095272E-3</v>
      </c>
      <c r="F1238" s="8" t="s">
        <v>6432</v>
      </c>
      <c r="G1238" s="12" t="s">
        <v>6433</v>
      </c>
      <c r="H1238" s="12">
        <v>1</v>
      </c>
      <c r="I1238" s="13" t="str">
        <f>HYPERLINK("http://www.ncbi.nlm.nih.gov/gene/79016", "79016")</f>
        <v>79016</v>
      </c>
      <c r="J1238" s="13" t="str">
        <f>HYPERLINK("http://www.ncbi.nlm.nih.gov/nuccore/NM_024050", "NM_024050")</f>
        <v>NM_024050</v>
      </c>
      <c r="K1238" s="12" t="s">
        <v>6434</v>
      </c>
      <c r="L1238" s="13" t="str">
        <f>HYPERLINK("http://asia.ensembl.org/Homo_sapiens/Gene/Summary?g=ENSG00000130311", "ENSG00000130311")</f>
        <v>ENSG00000130311</v>
      </c>
      <c r="M1238" s="12" t="s">
        <v>18164</v>
      </c>
      <c r="N1238" s="12" t="s">
        <v>18165</v>
      </c>
    </row>
    <row r="1239" spans="1:14">
      <c r="A1239" s="12" t="s">
        <v>9822</v>
      </c>
      <c r="B1239" s="8">
        <v>156.27877194166101</v>
      </c>
      <c r="C1239" s="12">
        <v>343.170091454957</v>
      </c>
      <c r="D1239" s="8">
        <v>-1.1348019982989801</v>
      </c>
      <c r="E1239" s="12">
        <v>2.11980205431672E-2</v>
      </c>
      <c r="F1239" s="8" t="s">
        <v>9823</v>
      </c>
      <c r="G1239" s="12" t="s">
        <v>9824</v>
      </c>
      <c r="H1239" s="12">
        <v>4</v>
      </c>
      <c r="I1239" s="12" t="s">
        <v>9825</v>
      </c>
      <c r="J1239" s="12" t="s">
        <v>19354</v>
      </c>
      <c r="K1239" s="12" t="s">
        <v>19355</v>
      </c>
      <c r="L1239" s="12" t="s">
        <v>9826</v>
      </c>
      <c r="M1239" s="12" t="s">
        <v>19356</v>
      </c>
      <c r="N1239" s="12" t="s">
        <v>19357</v>
      </c>
    </row>
    <row r="1240" spans="1:14">
      <c r="A1240" s="12" t="s">
        <v>2875</v>
      </c>
      <c r="B1240" s="8">
        <v>358.28036938064901</v>
      </c>
      <c r="C1240" s="12">
        <v>786.73364565247505</v>
      </c>
      <c r="D1240" s="8">
        <v>-1.1347862848993</v>
      </c>
      <c r="E1240" s="12">
        <v>2.62479815789888E-3</v>
      </c>
      <c r="F1240" s="8" t="s">
        <v>2876</v>
      </c>
      <c r="G1240" s="12" t="s">
        <v>2877</v>
      </c>
      <c r="H1240" s="12">
        <v>1</v>
      </c>
      <c r="I1240" s="13" t="str">
        <f>HYPERLINK("http://www.ncbi.nlm.nih.gov/gene/55450", "55450")</f>
        <v>55450</v>
      </c>
      <c r="J1240" s="13" t="str">
        <f>HYPERLINK("http://www.ncbi.nlm.nih.gov/nuccore/NM_018584", "NM_018584")</f>
        <v>NM_018584</v>
      </c>
      <c r="K1240" s="12" t="s">
        <v>2878</v>
      </c>
      <c r="L1240" s="13" t="str">
        <f>HYPERLINK("http://asia.ensembl.org/Homo_sapiens/Gene/Summary?g=ENSG00000162545", "ENSG00000162545")</f>
        <v>ENSG00000162545</v>
      </c>
      <c r="M1240" s="12" t="s">
        <v>17124</v>
      </c>
      <c r="N1240" s="12" t="s">
        <v>2879</v>
      </c>
    </row>
    <row r="1241" spans="1:14">
      <c r="A1241" s="12" t="s">
        <v>4274</v>
      </c>
      <c r="B1241" s="8">
        <v>3208.3818595712801</v>
      </c>
      <c r="C1241" s="12">
        <v>7045.1135890678597</v>
      </c>
      <c r="D1241" s="8">
        <v>-1.13477710677874</v>
      </c>
      <c r="E1241" s="12">
        <v>6.2891439949575899E-3</v>
      </c>
      <c r="F1241" s="8" t="s">
        <v>4275</v>
      </c>
      <c r="G1241" s="12" t="s">
        <v>4276</v>
      </c>
      <c r="H1241" s="12">
        <v>1</v>
      </c>
      <c r="I1241" s="13" t="str">
        <f>HYPERLINK("http://www.ncbi.nlm.nih.gov/gene/221443", "221443")</f>
        <v>221443</v>
      </c>
      <c r="J1241" s="13" t="str">
        <f>HYPERLINK("http://www.ncbi.nlm.nih.gov/nuccore/NM_145063", "NM_145063")</f>
        <v>NM_145063</v>
      </c>
      <c r="K1241" s="12" t="s">
        <v>4277</v>
      </c>
      <c r="L1241" s="13" t="str">
        <f>HYPERLINK("http://asia.ensembl.org/Homo_sapiens/Gene/Summary?g=ENSG00000124596", "ENSG00000124596")</f>
        <v>ENSG00000124596</v>
      </c>
      <c r="M1241" s="12" t="s">
        <v>17637</v>
      </c>
      <c r="N1241" s="12" t="s">
        <v>16032</v>
      </c>
    </row>
    <row r="1242" spans="1:14">
      <c r="A1242" s="12" t="s">
        <v>478</v>
      </c>
      <c r="B1242" s="8">
        <v>2002.8818970018699</v>
      </c>
      <c r="C1242" s="12">
        <v>4396.7444824272698</v>
      </c>
      <c r="D1242" s="8">
        <v>-1.1343583395763499</v>
      </c>
      <c r="E1242" s="12">
        <v>9.3917002972719304E-3</v>
      </c>
      <c r="F1242" s="8" t="s">
        <v>479</v>
      </c>
      <c r="G1242" s="12" t="s">
        <v>480</v>
      </c>
      <c r="H1242" s="12">
        <v>1</v>
      </c>
      <c r="I1242" s="13" t="str">
        <f>HYPERLINK("http://www.ncbi.nlm.nih.gov/gene/10043", "10043")</f>
        <v>10043</v>
      </c>
      <c r="J1242" s="12" t="s">
        <v>16337</v>
      </c>
      <c r="K1242" s="12" t="s">
        <v>16338</v>
      </c>
      <c r="L1242" s="13" t="str">
        <f>HYPERLINK("http://asia.ensembl.org/Homo_sapiens/Gene/Summary?g=ENSG00000100284", "ENSG00000100284")</f>
        <v>ENSG00000100284</v>
      </c>
      <c r="M1242" s="12" t="s">
        <v>16339</v>
      </c>
      <c r="N1242" s="12" t="s">
        <v>16340</v>
      </c>
    </row>
    <row r="1243" spans="1:14">
      <c r="A1243" s="12" t="s">
        <v>11667</v>
      </c>
      <c r="B1243" s="8">
        <v>921.68882940285698</v>
      </c>
      <c r="C1243" s="12">
        <v>2022.8734346511001</v>
      </c>
      <c r="D1243" s="8">
        <v>-1.1340543865594399</v>
      </c>
      <c r="E1243" s="12">
        <v>8.3547339792193302E-5</v>
      </c>
      <c r="F1243" s="8" t="s">
        <v>38</v>
      </c>
      <c r="G1243" s="12" t="s">
        <v>38</v>
      </c>
      <c r="H1243" s="12">
        <v>1</v>
      </c>
      <c r="I1243" s="12" t="s">
        <v>38</v>
      </c>
      <c r="J1243" s="12" t="s">
        <v>38</v>
      </c>
      <c r="K1243" s="12" t="s">
        <v>38</v>
      </c>
      <c r="L1243" s="12" t="s">
        <v>11668</v>
      </c>
      <c r="M1243" s="12" t="s">
        <v>11669</v>
      </c>
    </row>
    <row r="1244" spans="1:14">
      <c r="A1244" s="12" t="s">
        <v>4417</v>
      </c>
      <c r="B1244" s="8">
        <v>2039.01920479572</v>
      </c>
      <c r="C1244" s="12">
        <v>4474.7946272077197</v>
      </c>
      <c r="D1244" s="8">
        <v>-1.1339461070833401</v>
      </c>
      <c r="E1244" s="12">
        <v>1.24536107673399E-2</v>
      </c>
      <c r="F1244" s="8" t="s">
        <v>4418</v>
      </c>
      <c r="G1244" s="12" t="s">
        <v>4419</v>
      </c>
      <c r="H1244" s="12">
        <v>1</v>
      </c>
      <c r="I1244" s="13" t="str">
        <f>HYPERLINK("http://www.ncbi.nlm.nih.gov/gene/79644", "79644")</f>
        <v>79644</v>
      </c>
      <c r="J1244" s="13" t="str">
        <f>HYPERLINK("http://www.ncbi.nlm.nih.gov/nuccore/NM_024592", "NM_024592")</f>
        <v>NM_024592</v>
      </c>
      <c r="K1244" s="12" t="s">
        <v>4420</v>
      </c>
      <c r="L1244" s="13" t="str">
        <f>HYPERLINK("http://asia.ensembl.org/Homo_sapiens/Gene/Summary?g=ENSG00000128039", "ENSG00000128039")</f>
        <v>ENSG00000128039</v>
      </c>
      <c r="M1244" s="12" t="s">
        <v>17681</v>
      </c>
      <c r="N1244" s="12" t="s">
        <v>17682</v>
      </c>
    </row>
    <row r="1245" spans="1:14">
      <c r="A1245" s="12" t="s">
        <v>9596</v>
      </c>
      <c r="B1245" s="8">
        <v>1554.95596082068</v>
      </c>
      <c r="C1245" s="12">
        <v>3412.2350408062698</v>
      </c>
      <c r="D1245" s="8">
        <v>-1.1338433042856499</v>
      </c>
      <c r="E1245" s="12">
        <v>7.6277699138324702E-3</v>
      </c>
      <c r="F1245" s="8" t="s">
        <v>8000</v>
      </c>
      <c r="G1245" s="12" t="s">
        <v>19208</v>
      </c>
      <c r="H1245" s="12">
        <v>1</v>
      </c>
      <c r="I1245" s="13" t="str">
        <f>HYPERLINK("http://www.ncbi.nlm.nih.gov/gene/10062", "10062")</f>
        <v>10062</v>
      </c>
      <c r="J1245" s="12" t="s">
        <v>19209</v>
      </c>
      <c r="K1245" s="12" t="s">
        <v>19210</v>
      </c>
      <c r="L1245" s="13" t="str">
        <f>HYPERLINK("http://asia.ensembl.org/Homo_sapiens/Gene/Summary?g=ENSG00000025434", "ENSG00000025434")</f>
        <v>ENSG00000025434</v>
      </c>
      <c r="M1245" s="12" t="s">
        <v>19211</v>
      </c>
      <c r="N1245" s="12" t="s">
        <v>19212</v>
      </c>
    </row>
    <row r="1246" spans="1:14">
      <c r="A1246" s="12" t="s">
        <v>11046</v>
      </c>
      <c r="B1246" s="8">
        <v>107.57544106938499</v>
      </c>
      <c r="C1246" s="12">
        <v>236.05191552062399</v>
      </c>
      <c r="D1246" s="8">
        <v>-1.1337554347279399</v>
      </c>
      <c r="E1246" s="12">
        <v>1.47425617986159E-2</v>
      </c>
      <c r="F1246" s="8" t="s">
        <v>11047</v>
      </c>
      <c r="G1246" s="12" t="s">
        <v>11048</v>
      </c>
      <c r="H1246" s="12">
        <v>1</v>
      </c>
      <c r="I1246" s="13" t="str">
        <f>HYPERLINK("http://www.ncbi.nlm.nih.gov/gene/100506581", "100506581")</f>
        <v>100506581</v>
      </c>
      <c r="J1246" s="13" t="str">
        <f>HYPERLINK("http://www.ncbi.nlm.nih.gov/nuccore/NM_001195124", "NM_001195124")</f>
        <v>NM_001195124</v>
      </c>
      <c r="K1246" s="12" t="s">
        <v>11049</v>
      </c>
      <c r="L1246" s="13" t="str">
        <f>HYPERLINK("http://asia.ensembl.org/Homo_sapiens/Gene/Summary?g=ENSG00000260456", "ENSG00000260456")</f>
        <v>ENSG00000260456</v>
      </c>
      <c r="M1246" s="12" t="s">
        <v>19941</v>
      </c>
      <c r="N1246" s="12" t="s">
        <v>19942</v>
      </c>
    </row>
    <row r="1247" spans="1:14">
      <c r="A1247" s="12" t="s">
        <v>9319</v>
      </c>
      <c r="B1247" s="8">
        <v>2526.0156630249298</v>
      </c>
      <c r="C1247" s="12">
        <v>5535.1377945151298</v>
      </c>
      <c r="D1247" s="8">
        <v>-1.1317556477834201</v>
      </c>
      <c r="E1247" s="12">
        <v>1.2552878394398E-2</v>
      </c>
      <c r="F1247" s="8" t="s">
        <v>9320</v>
      </c>
      <c r="G1247" s="12" t="s">
        <v>9321</v>
      </c>
      <c r="H1247" s="12">
        <v>1</v>
      </c>
      <c r="I1247" s="13" t="str">
        <f>HYPERLINK("http://www.ncbi.nlm.nih.gov/gene/645683", "645683")</f>
        <v>645683</v>
      </c>
      <c r="J1247" s="13" t="str">
        <f>HYPERLINK("http://www.ncbi.nlm.nih.gov/nuccore/NR_004844", "NR_004844")</f>
        <v>NR_004844</v>
      </c>
      <c r="K1247" s="12" t="s">
        <v>199</v>
      </c>
      <c r="L1247" s="13" t="str">
        <f>HYPERLINK("http://asia.ensembl.org/Homo_sapiens/Gene/Summary?g=ENSG00000177350", "ENSG00000177350")</f>
        <v>ENSG00000177350</v>
      </c>
      <c r="M1247" s="12" t="s">
        <v>19125</v>
      </c>
    </row>
    <row r="1248" spans="1:14">
      <c r="A1248" s="12" t="s">
        <v>1374</v>
      </c>
      <c r="B1248" s="8">
        <v>652.14085307938399</v>
      </c>
      <c r="C1248" s="12">
        <v>1428.9768886853999</v>
      </c>
      <c r="D1248" s="8">
        <v>-1.13172707875939</v>
      </c>
      <c r="E1248" s="12">
        <v>1.63772798525828E-3</v>
      </c>
      <c r="F1248" s="8" t="s">
        <v>1375</v>
      </c>
      <c r="G1248" s="12" t="s">
        <v>1376</v>
      </c>
      <c r="H1248" s="12">
        <v>1</v>
      </c>
      <c r="I1248" s="13" t="str">
        <f>HYPERLINK("http://www.ncbi.nlm.nih.gov/gene/144097", "144097")</f>
        <v>144097</v>
      </c>
      <c r="J1248" s="13" t="str">
        <f>HYPERLINK("http://www.ncbi.nlm.nih.gov/nuccore/NM_138471", "NM_138471")</f>
        <v>NM_138471</v>
      </c>
      <c r="K1248" s="12" t="s">
        <v>1377</v>
      </c>
      <c r="L1248" s="13" t="str">
        <f>HYPERLINK("http://asia.ensembl.org/Homo_sapiens/Gene/Summary?g=ENSG00000168005", "ENSG00000168005")</f>
        <v>ENSG00000168005</v>
      </c>
      <c r="M1248" s="12" t="s">
        <v>16598</v>
      </c>
      <c r="N1248" s="12" t="s">
        <v>16599</v>
      </c>
    </row>
    <row r="1249" spans="1:14">
      <c r="A1249" s="12" t="s">
        <v>7325</v>
      </c>
      <c r="B1249" s="8">
        <v>463.009104287252</v>
      </c>
      <c r="C1249" s="12">
        <v>1014.53109229816</v>
      </c>
      <c r="D1249" s="8">
        <v>-1.13170061297201</v>
      </c>
      <c r="E1249" s="12">
        <v>7.7123814021589103E-4</v>
      </c>
      <c r="F1249" s="8" t="s">
        <v>7326</v>
      </c>
      <c r="G1249" s="12" t="s">
        <v>18481</v>
      </c>
      <c r="H1249" s="12">
        <v>1</v>
      </c>
      <c r="I1249" s="13" t="str">
        <f>HYPERLINK("http://www.ncbi.nlm.nih.gov/gene/7114", "7114")</f>
        <v>7114</v>
      </c>
      <c r="J1249" s="13" t="str">
        <f>HYPERLINK("http://www.ncbi.nlm.nih.gov/nuccore/NM_021109", "NM_021109")</f>
        <v>NM_021109</v>
      </c>
      <c r="K1249" s="12" t="s">
        <v>7327</v>
      </c>
      <c r="L1249" s="13" t="str">
        <f>HYPERLINK("http://asia.ensembl.org/Homo_sapiens/Gene/Summary?g=ENSG00000205542", "ENSG00000205542")</f>
        <v>ENSG00000205542</v>
      </c>
      <c r="M1249" s="12" t="s">
        <v>18482</v>
      </c>
      <c r="N1249" s="12" t="s">
        <v>18483</v>
      </c>
    </row>
    <row r="1250" spans="1:14">
      <c r="A1250" s="12" t="s">
        <v>2577</v>
      </c>
      <c r="B1250" s="8">
        <v>12815.248263929199</v>
      </c>
      <c r="C1250" s="12">
        <v>28079.5957890461</v>
      </c>
      <c r="D1250" s="8">
        <v>-1.1316607403612799</v>
      </c>
      <c r="E1250" s="12">
        <v>7.2890670369849002E-3</v>
      </c>
      <c r="F1250" s="8" t="s">
        <v>2578</v>
      </c>
      <c r="G1250" s="12" t="s">
        <v>2579</v>
      </c>
      <c r="H1250" s="12">
        <v>1</v>
      </c>
      <c r="I1250" s="13" t="str">
        <f>HYPERLINK("http://www.ncbi.nlm.nih.gov/gene/6909", "6909")</f>
        <v>6909</v>
      </c>
      <c r="J1250" s="13" t="str">
        <f>HYPERLINK("http://www.ncbi.nlm.nih.gov/nuccore/NM_005994", "NM_005994")</f>
        <v>NM_005994</v>
      </c>
      <c r="K1250" s="12" t="s">
        <v>2580</v>
      </c>
      <c r="L1250" s="13" t="str">
        <f>HYPERLINK("http://asia.ensembl.org/Homo_sapiens/Gene/Summary?g=ENSG00000121068", "ENSG00000121068")</f>
        <v>ENSG00000121068</v>
      </c>
      <c r="M1250" s="12" t="s">
        <v>17036</v>
      </c>
      <c r="N1250" s="12" t="s">
        <v>17037</v>
      </c>
    </row>
    <row r="1251" spans="1:14">
      <c r="A1251" s="12" t="s">
        <v>5019</v>
      </c>
      <c r="B1251" s="8">
        <v>3660.7486635770902</v>
      </c>
      <c r="C1251" s="12">
        <v>8020.9617041143902</v>
      </c>
      <c r="D1251" s="8">
        <v>-1.1316364987618801</v>
      </c>
      <c r="E1251" s="12">
        <v>8.1686765028986703E-3</v>
      </c>
      <c r="F1251" s="8" t="s">
        <v>5020</v>
      </c>
      <c r="G1251" s="12" t="s">
        <v>17783</v>
      </c>
      <c r="H1251" s="12">
        <v>1</v>
      </c>
      <c r="I1251" s="13" t="str">
        <f>HYPERLINK("http://www.ncbi.nlm.nih.gov/gene/8802", "8802")</f>
        <v>8802</v>
      </c>
      <c r="J1251" s="13" t="str">
        <f>HYPERLINK("http://www.ncbi.nlm.nih.gov/nuccore/NM_003849", "NM_003849")</f>
        <v>NM_003849</v>
      </c>
      <c r="K1251" s="12" t="s">
        <v>5021</v>
      </c>
      <c r="L1251" s="13" t="str">
        <f>HYPERLINK("http://asia.ensembl.org/Homo_sapiens/Gene/Summary?g=ENSG00000163541", "ENSG00000163541")</f>
        <v>ENSG00000163541</v>
      </c>
      <c r="M1251" s="12" t="s">
        <v>17784</v>
      </c>
      <c r="N1251" s="12" t="s">
        <v>17785</v>
      </c>
    </row>
    <row r="1252" spans="1:14">
      <c r="A1252" s="12" t="s">
        <v>3591</v>
      </c>
      <c r="B1252" s="8">
        <v>53.350598972829502</v>
      </c>
      <c r="C1252" s="12">
        <v>116.88419699372599</v>
      </c>
      <c r="D1252" s="8">
        <v>-1.1315035138972001</v>
      </c>
      <c r="E1252" s="12">
        <v>3.9824861177190897E-2</v>
      </c>
      <c r="F1252" s="8" t="s">
        <v>3592</v>
      </c>
      <c r="G1252" s="12" t="s">
        <v>565</v>
      </c>
      <c r="H1252" s="12">
        <v>1</v>
      </c>
      <c r="I1252" s="13" t="str">
        <f>HYPERLINK("http://www.ncbi.nlm.nih.gov/gene/10998", "10998")</f>
        <v>10998</v>
      </c>
      <c r="J1252" s="13" t="str">
        <f>HYPERLINK("http://www.ncbi.nlm.nih.gov/nuccore/NM_012254", "NM_012254")</f>
        <v>NM_012254</v>
      </c>
      <c r="K1252" s="12" t="s">
        <v>3593</v>
      </c>
      <c r="L1252" s="13" t="str">
        <f>HYPERLINK("http://asia.ensembl.org/Homo_sapiens/Gene/Summary?g=ENSG00000083807", "ENSG00000083807")</f>
        <v>ENSG00000083807</v>
      </c>
      <c r="M1252" s="12" t="s">
        <v>17346</v>
      </c>
      <c r="N1252" s="12" t="s">
        <v>17347</v>
      </c>
    </row>
    <row r="1253" spans="1:14">
      <c r="A1253" s="12" t="s">
        <v>8583</v>
      </c>
      <c r="B1253" s="8">
        <v>11150.515305859901</v>
      </c>
      <c r="C1253" s="12">
        <v>24421.616111186799</v>
      </c>
      <c r="D1253" s="8">
        <v>-1.13104829059295</v>
      </c>
      <c r="E1253" s="12">
        <v>1.12117613265066E-2</v>
      </c>
      <c r="F1253" s="8" t="s">
        <v>8584</v>
      </c>
      <c r="G1253" s="12" t="s">
        <v>8585</v>
      </c>
      <c r="H1253" s="12">
        <v>4</v>
      </c>
      <c r="I1253" s="12" t="s">
        <v>8586</v>
      </c>
      <c r="J1253" s="12" t="s">
        <v>18922</v>
      </c>
      <c r="K1253" s="12" t="s">
        <v>18923</v>
      </c>
      <c r="L1253" s="12" t="s">
        <v>8587</v>
      </c>
      <c r="M1253" s="12" t="s">
        <v>18924</v>
      </c>
      <c r="N1253" s="12" t="s">
        <v>8588</v>
      </c>
    </row>
    <row r="1254" spans="1:14">
      <c r="A1254" s="12" t="s">
        <v>7418</v>
      </c>
      <c r="B1254" s="8">
        <v>2848.9978460966199</v>
      </c>
      <c r="C1254" s="12">
        <v>6238.1022748198302</v>
      </c>
      <c r="D1254" s="8">
        <v>-1.13065267519937</v>
      </c>
      <c r="E1254" s="12">
        <v>9.4787809960564205E-3</v>
      </c>
      <c r="F1254" s="8" t="s">
        <v>731</v>
      </c>
      <c r="G1254" s="12" t="s">
        <v>732</v>
      </c>
      <c r="H1254" s="12">
        <v>1</v>
      </c>
      <c r="I1254" s="13" t="str">
        <f>HYPERLINK("http://www.ncbi.nlm.nih.gov/gene/51019", "51019")</f>
        <v>51019</v>
      </c>
      <c r="J1254" s="13" t="str">
        <f>HYPERLINK("http://www.ncbi.nlm.nih.gov/nuccore/NM_016053", "NM_016053")</f>
        <v>NM_016053</v>
      </c>
      <c r="K1254" s="12" t="s">
        <v>733</v>
      </c>
      <c r="L1254" s="13" t="str">
        <f>HYPERLINK("http://asia.ensembl.org/Homo_sapiens/Gene/Summary?g=ENSG00000120860", "ENSG00000120860")</f>
        <v>ENSG00000120860</v>
      </c>
      <c r="M1254" s="12" t="s">
        <v>16427</v>
      </c>
      <c r="N1254" s="12" t="s">
        <v>16428</v>
      </c>
    </row>
    <row r="1255" spans="1:14">
      <c r="A1255" s="12" t="s">
        <v>9461</v>
      </c>
      <c r="B1255" s="8">
        <v>13732.910651837299</v>
      </c>
      <c r="C1255" s="12">
        <v>30065.677134179899</v>
      </c>
      <c r="D1255" s="8">
        <v>-1.1304800179825301</v>
      </c>
      <c r="E1255" s="12">
        <v>1.6028806185420401E-2</v>
      </c>
      <c r="F1255" s="8" t="s">
        <v>2774</v>
      </c>
      <c r="G1255" s="12" t="s">
        <v>2775</v>
      </c>
      <c r="H1255" s="12">
        <v>1</v>
      </c>
      <c r="I1255" s="13" t="str">
        <f>HYPERLINK("http://www.ncbi.nlm.nih.gov/gene/55052", "55052")</f>
        <v>55052</v>
      </c>
      <c r="J1255" s="13" t="str">
        <f>HYPERLINK("http://www.ncbi.nlm.nih.gov/nuccore/NM_017971", "NM_017971")</f>
        <v>NM_017971</v>
      </c>
      <c r="K1255" s="12" t="s">
        <v>2776</v>
      </c>
      <c r="L1255" s="13" t="str">
        <f>HYPERLINK("http://asia.ensembl.org/Homo_sapiens/Gene/Summary?g=ENSG00000242485", "ENSG00000242485")</f>
        <v>ENSG00000242485</v>
      </c>
      <c r="M1255" s="12" t="s">
        <v>17110</v>
      </c>
      <c r="N1255" s="12" t="s">
        <v>17111</v>
      </c>
    </row>
    <row r="1256" spans="1:14">
      <c r="A1256" s="12" t="s">
        <v>10552</v>
      </c>
      <c r="B1256" s="8">
        <v>62.210233271724299</v>
      </c>
      <c r="C1256" s="12">
        <v>136.187684076691</v>
      </c>
      <c r="D1256" s="8">
        <v>-1.1303724202503</v>
      </c>
      <c r="E1256" s="12">
        <v>3.7876543121657398E-2</v>
      </c>
      <c r="F1256" s="8" t="s">
        <v>3299</v>
      </c>
      <c r="G1256" s="12" t="s">
        <v>3300</v>
      </c>
      <c r="H1256" s="12">
        <v>1</v>
      </c>
      <c r="I1256" s="13" t="str">
        <f>HYPERLINK("http://www.ncbi.nlm.nih.gov/gene/11213", "11213")</f>
        <v>11213</v>
      </c>
      <c r="J1256" s="12" t="s">
        <v>19771</v>
      </c>
      <c r="K1256" s="12" t="s">
        <v>19772</v>
      </c>
      <c r="L1256" s="13" t="str">
        <f>HYPERLINK("http://asia.ensembl.org/Homo_sapiens/Gene/Summary?g=ENSG00000090376", "ENSG00000090376")</f>
        <v>ENSG00000090376</v>
      </c>
      <c r="M1256" s="12" t="s">
        <v>19773</v>
      </c>
      <c r="N1256" s="12" t="s">
        <v>19774</v>
      </c>
    </row>
    <row r="1257" spans="1:14">
      <c r="A1257" s="12" t="s">
        <v>2085</v>
      </c>
      <c r="B1257" s="8">
        <v>35878.293440267502</v>
      </c>
      <c r="C1257" s="12">
        <v>78535.005206495494</v>
      </c>
      <c r="D1257" s="8">
        <v>-1.13022457637092</v>
      </c>
      <c r="E1257" s="12">
        <v>6.9056259541636798E-3</v>
      </c>
      <c r="F1257" s="8" t="s">
        <v>2086</v>
      </c>
      <c r="G1257" s="12" t="s">
        <v>2087</v>
      </c>
      <c r="H1257" s="12">
        <v>1</v>
      </c>
      <c r="I1257" s="13" t="str">
        <f>HYPERLINK("http://www.ncbi.nlm.nih.gov/gene/50854", "50854")</f>
        <v>50854</v>
      </c>
      <c r="J1257" s="12" t="s">
        <v>16915</v>
      </c>
      <c r="K1257" s="12" t="s">
        <v>16916</v>
      </c>
      <c r="L1257" s="13" t="str">
        <f>HYPERLINK("http://asia.ensembl.org/Homo_sapiens/Gene/Summary?g=ENSG00000234728", "ENSG00000234728")</f>
        <v>ENSG00000234728</v>
      </c>
      <c r="M1257" s="12" t="s">
        <v>16917</v>
      </c>
      <c r="N1257" s="12" t="s">
        <v>16918</v>
      </c>
    </row>
    <row r="1258" spans="1:14">
      <c r="A1258" s="12" t="s">
        <v>1811</v>
      </c>
      <c r="B1258" s="8">
        <v>16309.267041118401</v>
      </c>
      <c r="C1258" s="12">
        <v>35692.757557516401</v>
      </c>
      <c r="D1258" s="8">
        <v>-1.1299394187019201</v>
      </c>
      <c r="E1258" s="12">
        <v>1.18436936000441E-3</v>
      </c>
      <c r="F1258" s="8" t="s">
        <v>1812</v>
      </c>
      <c r="G1258" s="12" t="s">
        <v>16793</v>
      </c>
      <c r="H1258" s="12">
        <v>1</v>
      </c>
      <c r="I1258" s="13" t="str">
        <f>HYPERLINK("http://www.ncbi.nlm.nih.gov/gene/6881", "6881")</f>
        <v>6881</v>
      </c>
      <c r="J1258" s="13" t="str">
        <f>HYPERLINK("http://www.ncbi.nlm.nih.gov/nuccore/NM_006284", "NM_006284")</f>
        <v>NM_006284</v>
      </c>
      <c r="K1258" s="12" t="s">
        <v>1813</v>
      </c>
      <c r="L1258" s="13" t="str">
        <f>HYPERLINK("http://asia.ensembl.org/Homo_sapiens/Gene/Summary?g=ENSG00000166337", "ENSG00000166337")</f>
        <v>ENSG00000166337</v>
      </c>
      <c r="M1258" s="12" t="s">
        <v>16794</v>
      </c>
      <c r="N1258" s="12" t="s">
        <v>16795</v>
      </c>
    </row>
    <row r="1259" spans="1:14">
      <c r="A1259" s="12" t="s">
        <v>2599</v>
      </c>
      <c r="B1259" s="8">
        <v>3935.2923586960701</v>
      </c>
      <c r="C1259" s="12">
        <v>8610.0840892603101</v>
      </c>
      <c r="D1259" s="8">
        <v>-1.12955650791845</v>
      </c>
      <c r="E1259" s="12">
        <v>9.7190485346853699E-3</v>
      </c>
      <c r="F1259" s="8" t="s">
        <v>2600</v>
      </c>
      <c r="G1259" s="12" t="s">
        <v>2601</v>
      </c>
      <c r="H1259" s="12">
        <v>1</v>
      </c>
      <c r="I1259" s="13" t="str">
        <f>HYPERLINK("http://www.ncbi.nlm.nih.gov/gene/5157", "5157")</f>
        <v>5157</v>
      </c>
      <c r="J1259" s="13" t="str">
        <f>HYPERLINK("http://www.ncbi.nlm.nih.gov/nuccore/NM_006207", "NM_006207")</f>
        <v>NM_006207</v>
      </c>
      <c r="K1259" s="12" t="s">
        <v>2602</v>
      </c>
      <c r="L1259" s="13" t="str">
        <f>HYPERLINK("http://asia.ensembl.org/Homo_sapiens/Gene/Summary?g=ENSG00000104213", "ENSG00000104213")</f>
        <v>ENSG00000104213</v>
      </c>
      <c r="M1259" s="12" t="s">
        <v>17041</v>
      </c>
      <c r="N1259" s="12" t="s">
        <v>17042</v>
      </c>
    </row>
    <row r="1260" spans="1:14">
      <c r="A1260" s="12" t="s">
        <v>8538</v>
      </c>
      <c r="B1260" s="8">
        <v>132322.68358225501</v>
      </c>
      <c r="C1260" s="12">
        <v>289458.505511839</v>
      </c>
      <c r="D1260" s="8">
        <v>-1.1292961510283801</v>
      </c>
      <c r="E1260" s="12">
        <v>2.17547043164486E-2</v>
      </c>
      <c r="F1260" s="8" t="s">
        <v>7203</v>
      </c>
      <c r="G1260" s="12" t="s">
        <v>7204</v>
      </c>
      <c r="H1260" s="12">
        <v>1</v>
      </c>
      <c r="I1260" s="13" t="str">
        <f>HYPERLINK("http://www.ncbi.nlm.nih.gov/gene/6141", "6141")</f>
        <v>6141</v>
      </c>
      <c r="J1260" s="12" t="s">
        <v>18417</v>
      </c>
      <c r="K1260" s="12" t="s">
        <v>18418</v>
      </c>
      <c r="L1260" s="13" t="str">
        <f>HYPERLINK("http://asia.ensembl.org/Homo_sapiens/Gene/Summary?g=ENSG00000063177", "ENSG00000063177")</f>
        <v>ENSG00000063177</v>
      </c>
      <c r="M1260" s="12" t="s">
        <v>18419</v>
      </c>
      <c r="N1260" s="12" t="s">
        <v>18420</v>
      </c>
    </row>
    <row r="1261" spans="1:14">
      <c r="A1261" s="12" t="s">
        <v>8436</v>
      </c>
      <c r="B1261" s="8">
        <v>1814.9935392273901</v>
      </c>
      <c r="C1261" s="12">
        <v>3969.9495314558399</v>
      </c>
      <c r="D1261" s="8">
        <v>-1.1291562543040901</v>
      </c>
      <c r="E1261" s="12">
        <v>4.0771186892443797E-3</v>
      </c>
      <c r="F1261" s="8" t="s">
        <v>4510</v>
      </c>
      <c r="G1261" s="12" t="s">
        <v>4511</v>
      </c>
      <c r="H1261" s="12">
        <v>1</v>
      </c>
      <c r="I1261" s="13" t="str">
        <f>HYPERLINK("http://www.ncbi.nlm.nih.gov/gene/51660", "51660")</f>
        <v>51660</v>
      </c>
      <c r="J1261" s="12" t="s">
        <v>18825</v>
      </c>
      <c r="K1261" s="12" t="s">
        <v>18826</v>
      </c>
      <c r="L1261" s="13" t="str">
        <f>HYPERLINK("http://asia.ensembl.org/Homo_sapiens/Gene/Summary?g=ENSG00000060762", "ENSG00000060762")</f>
        <v>ENSG00000060762</v>
      </c>
      <c r="M1261" s="12" t="s">
        <v>18827</v>
      </c>
      <c r="N1261" s="12" t="s">
        <v>18828</v>
      </c>
    </row>
    <row r="1262" spans="1:14">
      <c r="A1262" s="12" t="s">
        <v>10037</v>
      </c>
      <c r="B1262" s="8">
        <v>320.17209010246398</v>
      </c>
      <c r="C1262" s="12">
        <v>700.24179214374601</v>
      </c>
      <c r="D1262" s="8">
        <v>-1.1290056165348701</v>
      </c>
      <c r="E1262" s="12">
        <v>4.5754312910587002E-3</v>
      </c>
      <c r="F1262" s="8" t="s">
        <v>10038</v>
      </c>
      <c r="G1262" s="12" t="s">
        <v>19517</v>
      </c>
      <c r="H1262" s="12">
        <v>1</v>
      </c>
      <c r="I1262" s="13" t="str">
        <f>HYPERLINK("http://www.ncbi.nlm.nih.gov/gene/3880", "3880")</f>
        <v>3880</v>
      </c>
      <c r="J1262" s="13" t="str">
        <f>HYPERLINK("http://www.ncbi.nlm.nih.gov/nuccore/NM_002276", "NM_002276")</f>
        <v>NM_002276</v>
      </c>
      <c r="K1262" s="12" t="s">
        <v>10039</v>
      </c>
      <c r="L1262" s="13" t="str">
        <f>HYPERLINK("http://asia.ensembl.org/Homo_sapiens/Gene/Summary?g=ENSG00000171345", "ENSG00000171345")</f>
        <v>ENSG00000171345</v>
      </c>
      <c r="M1262" s="12" t="s">
        <v>19518</v>
      </c>
      <c r="N1262" s="12" t="s">
        <v>19519</v>
      </c>
    </row>
    <row r="1263" spans="1:14">
      <c r="A1263" s="12" t="s">
        <v>8155</v>
      </c>
      <c r="B1263" s="8">
        <v>2630.7755586520402</v>
      </c>
      <c r="C1263" s="12">
        <v>5753.5396679508103</v>
      </c>
      <c r="D1263" s="8">
        <v>-1.1289616258167701</v>
      </c>
      <c r="E1263" s="12">
        <v>1.9231646943598101E-3</v>
      </c>
      <c r="F1263" s="8" t="s">
        <v>8156</v>
      </c>
      <c r="G1263" s="12" t="s">
        <v>8157</v>
      </c>
      <c r="H1263" s="12">
        <v>4</v>
      </c>
      <c r="I1263" s="12" t="s">
        <v>8158</v>
      </c>
      <c r="J1263" s="12" t="s">
        <v>8159</v>
      </c>
      <c r="K1263" s="12" t="s">
        <v>8160</v>
      </c>
      <c r="L1263" s="12" t="s">
        <v>8161</v>
      </c>
      <c r="M1263" s="12" t="s">
        <v>18736</v>
      </c>
      <c r="N1263" s="12" t="s">
        <v>18737</v>
      </c>
    </row>
    <row r="1264" spans="1:14">
      <c r="A1264" s="12" t="s">
        <v>10360</v>
      </c>
      <c r="B1264" s="8">
        <v>329.95357067203702</v>
      </c>
      <c r="C1264" s="12">
        <v>721.41836771220903</v>
      </c>
      <c r="D1264" s="8">
        <v>-1.1285731251016999</v>
      </c>
      <c r="E1264" s="12">
        <v>5.5213749140553903E-3</v>
      </c>
      <c r="F1264" s="8" t="s">
        <v>8140</v>
      </c>
      <c r="G1264" s="12" t="s">
        <v>19695</v>
      </c>
      <c r="H1264" s="12">
        <v>1</v>
      </c>
      <c r="I1264" s="13" t="str">
        <f>HYPERLINK("http://www.ncbi.nlm.nih.gov/gene/259295", "259295")</f>
        <v>259295</v>
      </c>
      <c r="J1264" s="13" t="str">
        <f>HYPERLINK("http://www.ncbi.nlm.nih.gov/nuccore/NM_176889", "NM_176889")</f>
        <v>NM_176889</v>
      </c>
      <c r="K1264" s="12" t="s">
        <v>8141</v>
      </c>
      <c r="L1264" s="13" t="str">
        <f>HYPERLINK("http://asia.ensembl.org/Homo_sapiens/Gene/Summary?g=ENSG00000255837", "ENSG00000255837")</f>
        <v>ENSG00000255837</v>
      </c>
      <c r="M1264" s="12" t="s">
        <v>8142</v>
      </c>
      <c r="N1264" s="12" t="s">
        <v>8143</v>
      </c>
    </row>
    <row r="1265" spans="1:14">
      <c r="A1265" s="12" t="s">
        <v>6729</v>
      </c>
      <c r="B1265" s="8">
        <v>189.90806709749299</v>
      </c>
      <c r="C1265" s="12">
        <v>415.04738840091397</v>
      </c>
      <c r="D1265" s="8">
        <v>-1.12797487586372</v>
      </c>
      <c r="E1265" s="12">
        <v>7.0223197018635603E-3</v>
      </c>
      <c r="F1265" s="8" t="s">
        <v>6730</v>
      </c>
      <c r="G1265" s="12" t="s">
        <v>456</v>
      </c>
      <c r="H1265" s="12">
        <v>1</v>
      </c>
      <c r="I1265" s="13" t="str">
        <f>HYPERLINK("http://www.ncbi.nlm.nih.gov/gene/1654", "1654")</f>
        <v>1654</v>
      </c>
      <c r="J1265" s="12" t="s">
        <v>15698</v>
      </c>
      <c r="K1265" s="12" t="s">
        <v>15699</v>
      </c>
      <c r="L1265" s="13" t="str">
        <f>HYPERLINK("http://asia.ensembl.org/Homo_sapiens/Gene/Summary?g=ENSG00000215301", "ENSG00000215301")</f>
        <v>ENSG00000215301</v>
      </c>
      <c r="M1265" s="12" t="s">
        <v>15700</v>
      </c>
      <c r="N1265" s="12" t="s">
        <v>15701</v>
      </c>
    </row>
    <row r="1266" spans="1:14">
      <c r="A1266" s="12" t="s">
        <v>6882</v>
      </c>
      <c r="B1266" s="8">
        <v>549.21073371098896</v>
      </c>
      <c r="C1266" s="12">
        <v>1199.9857892591499</v>
      </c>
      <c r="D1266" s="8">
        <v>-1.12758559419015</v>
      </c>
      <c r="E1266" s="12">
        <v>1.39138641159292E-3</v>
      </c>
      <c r="F1266" s="8" t="s">
        <v>6883</v>
      </c>
      <c r="G1266" s="12" t="s">
        <v>6884</v>
      </c>
      <c r="H1266" s="12">
        <v>1</v>
      </c>
      <c r="I1266" s="13" t="str">
        <f>HYPERLINK("http://www.ncbi.nlm.nih.gov/gene/50862", "50862")</f>
        <v>50862</v>
      </c>
      <c r="J1266" s="13" t="str">
        <f>HYPERLINK("http://www.ncbi.nlm.nih.gov/nuccore/NM_016422", "NM_016422")</f>
        <v>NM_016422</v>
      </c>
      <c r="K1266" s="12" t="s">
        <v>6885</v>
      </c>
      <c r="L1266" s="13" t="str">
        <f>HYPERLINK("http://asia.ensembl.org/Homo_sapiens/Gene/Summary?g=ENSG00000110315", "ENSG00000110315")</f>
        <v>ENSG00000110315</v>
      </c>
      <c r="M1266" s="12" t="s">
        <v>18285</v>
      </c>
      <c r="N1266" s="12" t="s">
        <v>18286</v>
      </c>
    </row>
    <row r="1267" spans="1:14">
      <c r="A1267" s="12" t="s">
        <v>7632</v>
      </c>
      <c r="B1267" s="8">
        <v>3798.9786828044498</v>
      </c>
      <c r="C1267" s="12">
        <v>8299.1432906256996</v>
      </c>
      <c r="D1267" s="8">
        <v>-1.12735080004546</v>
      </c>
      <c r="E1267" s="12">
        <v>2.9412679761396201E-3</v>
      </c>
      <c r="F1267" s="8" t="s">
        <v>7633</v>
      </c>
      <c r="G1267" s="12" t="s">
        <v>18596</v>
      </c>
      <c r="H1267" s="12">
        <v>4</v>
      </c>
      <c r="I1267" s="12" t="s">
        <v>7634</v>
      </c>
      <c r="J1267" s="12" t="s">
        <v>18597</v>
      </c>
      <c r="K1267" s="12" t="s">
        <v>18598</v>
      </c>
      <c r="L1267" s="12" t="s">
        <v>7635</v>
      </c>
      <c r="M1267" s="12" t="s">
        <v>18599</v>
      </c>
      <c r="N1267" s="12" t="s">
        <v>18600</v>
      </c>
    </row>
    <row r="1268" spans="1:14">
      <c r="A1268" s="12" t="s">
        <v>8567</v>
      </c>
      <c r="B1268" s="8">
        <v>1187.2379327702599</v>
      </c>
      <c r="C1268" s="12">
        <v>2593.2655965574299</v>
      </c>
      <c r="D1268" s="8">
        <v>-1.1271608788663801</v>
      </c>
      <c r="E1268" s="12">
        <v>2.7873893756677299E-3</v>
      </c>
      <c r="F1268" s="8" t="s">
        <v>7280</v>
      </c>
      <c r="G1268" s="12" t="s">
        <v>18915</v>
      </c>
      <c r="H1268" s="12">
        <v>1</v>
      </c>
      <c r="I1268" s="13" t="str">
        <f>HYPERLINK("http://www.ncbi.nlm.nih.gov/gene/115106", "115106")</f>
        <v>115106</v>
      </c>
      <c r="J1268" s="12" t="s">
        <v>18916</v>
      </c>
      <c r="K1268" s="12" t="s">
        <v>18917</v>
      </c>
      <c r="L1268" s="13" t="str">
        <f>HYPERLINK("http://asia.ensembl.org/Homo_sapiens/Gene/Summary?g=ENSG00000152240", "ENSG00000152240")</f>
        <v>ENSG00000152240</v>
      </c>
      <c r="M1268" s="12" t="s">
        <v>18918</v>
      </c>
      <c r="N1268" s="12" t="s">
        <v>18919</v>
      </c>
    </row>
    <row r="1269" spans="1:14">
      <c r="A1269" s="12" t="s">
        <v>9542</v>
      </c>
      <c r="B1269" s="8">
        <v>425.798069586905</v>
      </c>
      <c r="C1269" s="12">
        <v>930.02532643642701</v>
      </c>
      <c r="D1269" s="8">
        <v>-1.12710059505431</v>
      </c>
      <c r="E1269" s="12">
        <v>4.4176020707937698E-3</v>
      </c>
      <c r="F1269" s="8" t="s">
        <v>9543</v>
      </c>
      <c r="G1269" s="12" t="s">
        <v>9544</v>
      </c>
      <c r="H1269" s="12">
        <v>1</v>
      </c>
      <c r="I1269" s="13" t="str">
        <f>HYPERLINK("http://www.ncbi.nlm.nih.gov/gene/401262", "401262")</f>
        <v>401262</v>
      </c>
      <c r="J1269" s="13" t="str">
        <f>HYPERLINK("http://www.ncbi.nlm.nih.gov/nuccore/NM_206922", "NM_206922")</f>
        <v>NM_206922</v>
      </c>
      <c r="K1269" s="12" t="s">
        <v>9545</v>
      </c>
      <c r="L1269" s="13" t="str">
        <f>HYPERLINK("http://asia.ensembl.org/Homo_sapiens/Gene/Summary?g=ENSG00000146215", "ENSG00000146215")</f>
        <v>ENSG00000146215</v>
      </c>
      <c r="M1269" s="12" t="s">
        <v>19183</v>
      </c>
      <c r="N1269" s="12" t="s">
        <v>19184</v>
      </c>
    </row>
    <row r="1270" spans="1:14">
      <c r="A1270" s="12" t="s">
        <v>3252</v>
      </c>
      <c r="B1270" s="8">
        <v>266.42515049708697</v>
      </c>
      <c r="C1270" s="12">
        <v>581.90788429039196</v>
      </c>
      <c r="D1270" s="8">
        <v>-1.1270605142989101</v>
      </c>
      <c r="E1270" s="12">
        <v>7.4707347766004304E-3</v>
      </c>
      <c r="F1270" s="8" t="s">
        <v>3253</v>
      </c>
      <c r="G1270" s="12" t="s">
        <v>3254</v>
      </c>
      <c r="H1270" s="12">
        <v>1</v>
      </c>
      <c r="I1270" s="13" t="str">
        <f>HYPERLINK("http://www.ncbi.nlm.nih.gov/gene/57593", "57593")</f>
        <v>57593</v>
      </c>
      <c r="J1270" s="13" t="str">
        <f>HYPERLINK("http://www.ncbi.nlm.nih.gov/nuccore/NM_001110514", "NM_001110514")</f>
        <v>NM_001110514</v>
      </c>
      <c r="K1270" s="12" t="s">
        <v>3255</v>
      </c>
      <c r="L1270" s="13" t="str">
        <f>HYPERLINK("http://asia.ensembl.org/Homo_sapiens/Gene/Summary?g=ENSG00000088881", "ENSG00000088881")</f>
        <v>ENSG00000088881</v>
      </c>
      <c r="M1270" s="12" t="s">
        <v>17259</v>
      </c>
      <c r="N1270" s="12" t="s">
        <v>17260</v>
      </c>
    </row>
    <row r="1271" spans="1:14">
      <c r="A1271" s="12" t="s">
        <v>8890</v>
      </c>
      <c r="B1271" s="8">
        <v>1580.6301419338499</v>
      </c>
      <c r="C1271" s="12">
        <v>3451.99205845592</v>
      </c>
      <c r="D1271" s="8">
        <v>-1.12692932038742</v>
      </c>
      <c r="E1271" s="12">
        <v>2.42838107095463E-3</v>
      </c>
      <c r="F1271" s="8" t="s">
        <v>126</v>
      </c>
      <c r="G1271" s="12" t="s">
        <v>127</v>
      </c>
      <c r="H1271" s="12">
        <v>1</v>
      </c>
      <c r="I1271" s="13" t="str">
        <f>HYPERLINK("http://www.ncbi.nlm.nih.gov/gene/332", "332")</f>
        <v>332</v>
      </c>
      <c r="J1271" s="12" t="s">
        <v>18994</v>
      </c>
      <c r="K1271" s="12" t="s">
        <v>18995</v>
      </c>
      <c r="L1271" s="13" t="str">
        <f>HYPERLINK("http://asia.ensembl.org/Homo_sapiens/Gene/Summary?g=ENSG00000089685", "ENSG00000089685")</f>
        <v>ENSG00000089685</v>
      </c>
      <c r="M1271" s="12" t="s">
        <v>18996</v>
      </c>
      <c r="N1271" s="12" t="s">
        <v>18997</v>
      </c>
    </row>
    <row r="1272" spans="1:14">
      <c r="A1272" s="12" t="s">
        <v>3610</v>
      </c>
      <c r="B1272" s="8">
        <v>2332.4687598897699</v>
      </c>
      <c r="C1272" s="12">
        <v>5092.7917647719996</v>
      </c>
      <c r="D1272" s="8">
        <v>-1.12659897084548</v>
      </c>
      <c r="E1272" s="12">
        <v>5.1890234720865704E-3</v>
      </c>
      <c r="F1272" s="8" t="s">
        <v>3611</v>
      </c>
      <c r="G1272" s="12" t="s">
        <v>3612</v>
      </c>
      <c r="H1272" s="12">
        <v>1</v>
      </c>
      <c r="I1272" s="13" t="str">
        <f>HYPERLINK("http://www.ncbi.nlm.nih.gov/gene/124935", "124935")</f>
        <v>124935</v>
      </c>
      <c r="J1272" s="13" t="str">
        <f>HYPERLINK("http://www.ncbi.nlm.nih.gov/nuccore/NM_152346", "NM_152346")</f>
        <v>NM_152346</v>
      </c>
      <c r="K1272" s="12" t="s">
        <v>3613</v>
      </c>
      <c r="L1272" s="13" t="str">
        <f>HYPERLINK("http://asia.ensembl.org/Homo_sapiens/Gene/Summary?g=ENSG00000167703", "ENSG00000167703")</f>
        <v>ENSG00000167703</v>
      </c>
      <c r="M1272" s="12" t="s">
        <v>17352</v>
      </c>
      <c r="N1272" s="12" t="s">
        <v>17353</v>
      </c>
    </row>
    <row r="1273" spans="1:14">
      <c r="A1273" s="12" t="s">
        <v>10178</v>
      </c>
      <c r="B1273" s="8">
        <v>5439.1509428446598</v>
      </c>
      <c r="C1273" s="12">
        <v>11874.3474776487</v>
      </c>
      <c r="D1273" s="8">
        <v>-1.12639486829613</v>
      </c>
      <c r="E1273" s="12">
        <v>1.20175142416356E-2</v>
      </c>
      <c r="F1273" s="8" t="s">
        <v>3889</v>
      </c>
      <c r="G1273" s="12" t="s">
        <v>3890</v>
      </c>
      <c r="H1273" s="12">
        <v>1</v>
      </c>
      <c r="I1273" s="13" t="str">
        <f>HYPERLINK("http://www.ncbi.nlm.nih.gov/gene/10528", "10528")</f>
        <v>10528</v>
      </c>
      <c r="J1273" s="13" t="str">
        <f>HYPERLINK("http://www.ncbi.nlm.nih.gov/nuccore/NR_027700", "NR_027700")</f>
        <v>NR_027700</v>
      </c>
      <c r="K1273" s="12" t="s">
        <v>199</v>
      </c>
      <c r="L1273" s="13" t="str">
        <f>HYPERLINK("http://asia.ensembl.org/Homo_sapiens/Gene/Summary?g=ENSG00000101361", "ENSG00000101361")</f>
        <v>ENSG00000101361</v>
      </c>
      <c r="M1273" s="12" t="s">
        <v>19575</v>
      </c>
      <c r="N1273" s="12" t="s">
        <v>19576</v>
      </c>
    </row>
    <row r="1274" spans="1:14">
      <c r="A1274" s="12" t="s">
        <v>6532</v>
      </c>
      <c r="B1274" s="8">
        <v>7141.9263164289396</v>
      </c>
      <c r="C1274" s="12">
        <v>15591.662401940601</v>
      </c>
      <c r="D1274" s="8">
        <v>-1.1263896033656899</v>
      </c>
      <c r="E1274" s="12">
        <v>1.19622481623894E-3</v>
      </c>
      <c r="F1274" s="8" t="s">
        <v>6533</v>
      </c>
      <c r="G1274" s="12" t="s">
        <v>6534</v>
      </c>
      <c r="H1274" s="12">
        <v>1</v>
      </c>
      <c r="I1274" s="13" t="str">
        <f>HYPERLINK("http://www.ncbi.nlm.nih.gov/gene/11334", "11334")</f>
        <v>11334</v>
      </c>
      <c r="J1274" s="13" t="str">
        <f>HYPERLINK("http://www.ncbi.nlm.nih.gov/nuccore/NM_007275", "NM_007275")</f>
        <v>NM_007275</v>
      </c>
      <c r="K1274" s="12" t="s">
        <v>6535</v>
      </c>
      <c r="L1274" s="13" t="str">
        <f>HYPERLINK("http://asia.ensembl.org/Homo_sapiens/Gene/Summary?g=ENSG00000114383", "ENSG00000114383")</f>
        <v>ENSG00000114383</v>
      </c>
      <c r="M1274" s="12" t="s">
        <v>18202</v>
      </c>
      <c r="N1274" s="12" t="s">
        <v>18203</v>
      </c>
    </row>
    <row r="1275" spans="1:14">
      <c r="A1275" s="12" t="s">
        <v>11341</v>
      </c>
      <c r="B1275" s="8">
        <v>334.16672944419702</v>
      </c>
      <c r="C1275" s="12">
        <v>729.41878686332302</v>
      </c>
      <c r="D1275" s="8">
        <v>-1.1261792562378601</v>
      </c>
      <c r="E1275" s="12">
        <v>7.5199958030748998E-3</v>
      </c>
      <c r="F1275" s="8" t="s">
        <v>10851</v>
      </c>
      <c r="G1275" s="12" t="s">
        <v>10852</v>
      </c>
      <c r="H1275" s="12">
        <v>4</v>
      </c>
      <c r="I1275" s="12" t="s">
        <v>10853</v>
      </c>
      <c r="J1275" s="12" t="s">
        <v>20079</v>
      </c>
      <c r="K1275" s="12" t="s">
        <v>20080</v>
      </c>
      <c r="L1275" s="12" t="s">
        <v>10854</v>
      </c>
      <c r="M1275" s="12" t="s">
        <v>20081</v>
      </c>
      <c r="N1275" s="12" t="s">
        <v>20082</v>
      </c>
    </row>
    <row r="1276" spans="1:14">
      <c r="A1276" s="12" t="s">
        <v>1477</v>
      </c>
      <c r="B1276" s="8">
        <v>111.984155035599</v>
      </c>
      <c r="C1276" s="12">
        <v>244.424587724026</v>
      </c>
      <c r="D1276" s="8">
        <v>-1.12609480377838</v>
      </c>
      <c r="E1276" s="12">
        <v>6.8994584379378698E-3</v>
      </c>
      <c r="F1276" s="8" t="s">
        <v>1478</v>
      </c>
      <c r="G1276" s="12" t="s">
        <v>1479</v>
      </c>
      <c r="H1276" s="12">
        <v>1</v>
      </c>
      <c r="I1276" s="13" t="str">
        <f>HYPERLINK("http://www.ncbi.nlm.nih.gov/gene/7306", "7306")</f>
        <v>7306</v>
      </c>
      <c r="J1276" s="13" t="str">
        <f>HYPERLINK("http://www.ncbi.nlm.nih.gov/nuccore/NM_000550", "NM_000550")</f>
        <v>NM_000550</v>
      </c>
      <c r="K1276" s="12" t="s">
        <v>1480</v>
      </c>
      <c r="L1276" s="13" t="str">
        <f>HYPERLINK("http://asia.ensembl.org/Homo_sapiens/Gene/Summary?g=ENSG00000107165", "ENSG00000107165")</f>
        <v>ENSG00000107165</v>
      </c>
      <c r="M1276" s="12" t="s">
        <v>16638</v>
      </c>
      <c r="N1276" s="12" t="s">
        <v>16639</v>
      </c>
    </row>
    <row r="1277" spans="1:14">
      <c r="A1277" s="12" t="s">
        <v>4553</v>
      </c>
      <c r="B1277" s="8">
        <v>965.81055065973896</v>
      </c>
      <c r="C1277" s="12">
        <v>2107.69276023676</v>
      </c>
      <c r="D1277" s="8">
        <v>-1.1258524507674099</v>
      </c>
      <c r="E1277" s="12">
        <v>2.45292448945892E-3</v>
      </c>
      <c r="F1277" s="8" t="s">
        <v>4554</v>
      </c>
      <c r="G1277" s="12" t="s">
        <v>4555</v>
      </c>
      <c r="H1277" s="12">
        <v>1</v>
      </c>
      <c r="I1277" s="13" t="str">
        <f>HYPERLINK("http://www.ncbi.nlm.nih.gov/gene/136647", "136647")</f>
        <v>136647</v>
      </c>
      <c r="J1277" s="13" t="str">
        <f>HYPERLINK("http://www.ncbi.nlm.nih.gov/nuccore/NM_138701", "NM_138701")</f>
        <v>NM_138701</v>
      </c>
      <c r="K1277" s="12" t="s">
        <v>4556</v>
      </c>
      <c r="L1277" s="13" t="str">
        <f>HYPERLINK("http://asia.ensembl.org/Homo_sapiens/Gene/Summary?g=ENSG00000168303", "ENSG00000168303")</f>
        <v>ENSG00000168303</v>
      </c>
      <c r="M1277" s="12" t="s">
        <v>4557</v>
      </c>
      <c r="N1277" s="12" t="s">
        <v>4558</v>
      </c>
    </row>
    <row r="1278" spans="1:14">
      <c r="A1278" s="12" t="s">
        <v>1289</v>
      </c>
      <c r="B1278" s="8">
        <v>4685.19290641715</v>
      </c>
      <c r="C1278" s="12">
        <v>10219.471723033799</v>
      </c>
      <c r="D1278" s="8">
        <v>-1.12514026549479</v>
      </c>
      <c r="E1278" s="12">
        <v>3.7251294934241399E-3</v>
      </c>
      <c r="F1278" s="8" t="s">
        <v>1290</v>
      </c>
      <c r="G1278" s="12" t="s">
        <v>1291</v>
      </c>
      <c r="H1278" s="12">
        <v>1</v>
      </c>
      <c r="I1278" s="13" t="str">
        <f>HYPERLINK("http://www.ncbi.nlm.nih.gov/gene/140606", "140606")</f>
        <v>140606</v>
      </c>
      <c r="J1278" s="13" t="str">
        <f>HYPERLINK("http://www.ncbi.nlm.nih.gov/nuccore/NM_080430", "NM_080430")</f>
        <v>NM_080430</v>
      </c>
      <c r="K1278" s="12" t="s">
        <v>1292</v>
      </c>
      <c r="L1278" s="13" t="str">
        <f>HYPERLINK("http://asia.ensembl.org/Homo_sapiens/Gene/Summary?g=ENSG00000198832", "ENSG00000198832")</f>
        <v>ENSG00000198832</v>
      </c>
      <c r="M1278" s="12" t="s">
        <v>16566</v>
      </c>
      <c r="N1278" s="12" t="s">
        <v>16567</v>
      </c>
    </row>
    <row r="1279" spans="1:14">
      <c r="A1279" s="12" t="s">
        <v>10135</v>
      </c>
      <c r="B1279" s="8">
        <v>6902.7889598457105</v>
      </c>
      <c r="C1279" s="12">
        <v>15054.115870822699</v>
      </c>
      <c r="D1279" s="8">
        <v>-1.1249066986731999</v>
      </c>
      <c r="E1279" s="12">
        <v>1.2291920494672599E-2</v>
      </c>
      <c r="F1279" s="8" t="s">
        <v>10136</v>
      </c>
      <c r="G1279" s="12" t="s">
        <v>19552</v>
      </c>
      <c r="H1279" s="12">
        <v>1</v>
      </c>
      <c r="I1279" s="13" t="str">
        <f>HYPERLINK("http://www.ncbi.nlm.nih.gov/gene/5098", "5098")</f>
        <v>5098</v>
      </c>
      <c r="J1279" s="13" t="str">
        <f>HYPERLINK("http://www.ncbi.nlm.nih.gov/nuccore/NM_032402", "NM_032402")</f>
        <v>NM_032402</v>
      </c>
      <c r="K1279" s="12" t="s">
        <v>10137</v>
      </c>
      <c r="L1279" s="13" t="str">
        <f>HYPERLINK("http://asia.ensembl.org/Homo_sapiens/Gene/Summary?g=ENSG00000240184", "ENSG00000240184")</f>
        <v>ENSG00000240184</v>
      </c>
      <c r="M1279" s="12" t="s">
        <v>19553</v>
      </c>
      <c r="N1279" s="12" t="s">
        <v>19554</v>
      </c>
    </row>
    <row r="1280" spans="1:14">
      <c r="A1280" s="12" t="s">
        <v>1712</v>
      </c>
      <c r="B1280" s="8">
        <v>2266.39392089803</v>
      </c>
      <c r="C1280" s="12">
        <v>4942.4632098495504</v>
      </c>
      <c r="D1280" s="8">
        <v>-1.12483158990126</v>
      </c>
      <c r="E1280" s="12">
        <v>3.9300644911583003E-3</v>
      </c>
      <c r="F1280" s="8" t="s">
        <v>1713</v>
      </c>
      <c r="G1280" s="12" t="s">
        <v>1714</v>
      </c>
      <c r="H1280" s="12">
        <v>1</v>
      </c>
      <c r="I1280" s="13" t="str">
        <f>HYPERLINK("http://www.ncbi.nlm.nih.gov/gene/4017", "4017")</f>
        <v>4017</v>
      </c>
      <c r="J1280" s="13" t="str">
        <f>HYPERLINK("http://www.ncbi.nlm.nih.gov/nuccore/NM_002318", "NM_002318")</f>
        <v>NM_002318</v>
      </c>
      <c r="K1280" s="12" t="s">
        <v>1715</v>
      </c>
      <c r="L1280" s="13" t="str">
        <f>HYPERLINK("http://asia.ensembl.org/Homo_sapiens/Gene/Summary?g=ENSG00000134013", "ENSG00000134013")</f>
        <v>ENSG00000134013</v>
      </c>
      <c r="M1280" s="12" t="s">
        <v>16770</v>
      </c>
      <c r="N1280" s="12" t="s">
        <v>16771</v>
      </c>
    </row>
    <row r="1281" spans="1:14">
      <c r="A1281" s="12" t="s">
        <v>4691</v>
      </c>
      <c r="B1281" s="8">
        <v>538.030937459396</v>
      </c>
      <c r="C1281" s="12">
        <v>1172.8869562344501</v>
      </c>
      <c r="D1281" s="8">
        <v>-1.12430293491699</v>
      </c>
      <c r="E1281" s="12">
        <v>5.7565099662562104E-3</v>
      </c>
      <c r="F1281" s="8" t="s">
        <v>4692</v>
      </c>
      <c r="G1281" s="12" t="s">
        <v>4693</v>
      </c>
      <c r="H1281" s="12">
        <v>1</v>
      </c>
      <c r="I1281" s="13" t="str">
        <f>HYPERLINK("http://www.ncbi.nlm.nih.gov/gene/9125", "9125")</f>
        <v>9125</v>
      </c>
      <c r="J1281" s="13" t="str">
        <f>HYPERLINK("http://www.ncbi.nlm.nih.gov/nuccore/NM_001271635", "NM_001271635")</f>
        <v>NM_001271635</v>
      </c>
      <c r="K1281" s="12" t="s">
        <v>4694</v>
      </c>
      <c r="L1281" s="13" t="str">
        <f>HYPERLINK("http://asia.ensembl.org/Homo_sapiens/Gene/Summary?g=ENSG00000144580", "ENSG00000144580")</f>
        <v>ENSG00000144580</v>
      </c>
      <c r="M1281" s="12" t="s">
        <v>17730</v>
      </c>
      <c r="N1281" s="12" t="s">
        <v>17731</v>
      </c>
    </row>
    <row r="1282" spans="1:14">
      <c r="A1282" s="12" t="s">
        <v>9600</v>
      </c>
      <c r="B1282" s="8">
        <v>52792.5646438658</v>
      </c>
      <c r="C1282" s="12">
        <v>115045.10689487201</v>
      </c>
      <c r="D1282" s="8">
        <v>-1.1237929656465699</v>
      </c>
      <c r="E1282" s="12">
        <v>8.5011922308648805E-3</v>
      </c>
      <c r="F1282" s="8" t="s">
        <v>1497</v>
      </c>
      <c r="G1282" s="12" t="s">
        <v>19218</v>
      </c>
      <c r="H1282" s="12">
        <v>1</v>
      </c>
      <c r="I1282" s="13" t="str">
        <f>HYPERLINK("http://www.ncbi.nlm.nih.gov/gene/4738", "4738")</f>
        <v>4738</v>
      </c>
      <c r="J1282" s="13" t="str">
        <f>HYPERLINK("http://www.ncbi.nlm.nih.gov/nuccore/NM_006156", "NM_006156")</f>
        <v>NM_006156</v>
      </c>
      <c r="K1282" s="12" t="s">
        <v>1498</v>
      </c>
      <c r="L1282" s="13" t="str">
        <f>HYPERLINK("http://asia.ensembl.org/Homo_sapiens/Gene/Summary?g=ENSG00000129559", "ENSG00000129559")</f>
        <v>ENSG00000129559</v>
      </c>
      <c r="M1282" s="12" t="s">
        <v>19219</v>
      </c>
      <c r="N1282" s="12" t="s">
        <v>19220</v>
      </c>
    </row>
    <row r="1283" spans="1:14">
      <c r="A1283" s="12" t="s">
        <v>11109</v>
      </c>
      <c r="B1283" s="8">
        <v>91003.539911494896</v>
      </c>
      <c r="C1283" s="12">
        <v>198312.93409068999</v>
      </c>
      <c r="D1283" s="8">
        <v>-1.1237842037352901</v>
      </c>
      <c r="E1283" s="12">
        <v>9.2021629682879601E-3</v>
      </c>
      <c r="F1283" s="8" t="s">
        <v>11110</v>
      </c>
      <c r="G1283" s="12" t="s">
        <v>11111</v>
      </c>
      <c r="H1283" s="12">
        <v>1</v>
      </c>
      <c r="I1283" s="13" t="str">
        <f>HYPERLINK("http://www.ncbi.nlm.nih.gov/gene/2597", "2597")</f>
        <v>2597</v>
      </c>
      <c r="J1283" s="13" t="str">
        <f>HYPERLINK("http://www.ncbi.nlm.nih.gov/nuccore/NM_002046", "NM_002046")</f>
        <v>NM_002046</v>
      </c>
      <c r="K1283" s="12" t="s">
        <v>11112</v>
      </c>
      <c r="L1283" s="13" t="str">
        <f>HYPERLINK("http://asia.ensembl.org/Homo_sapiens/Gene/Summary?g=ENSG00000111640", "ENSG00000111640")</f>
        <v>ENSG00000111640</v>
      </c>
      <c r="M1283" s="12" t="s">
        <v>19969</v>
      </c>
      <c r="N1283" s="12" t="s">
        <v>19970</v>
      </c>
    </row>
    <row r="1284" spans="1:14">
      <c r="A1284" s="12" t="s">
        <v>9788</v>
      </c>
      <c r="B1284" s="8">
        <v>3319.8535291652101</v>
      </c>
      <c r="C1284" s="12">
        <v>7234.1236220964702</v>
      </c>
      <c r="D1284" s="8">
        <v>-1.1236986603021399</v>
      </c>
      <c r="E1284" s="12">
        <v>1.36881504841306E-3</v>
      </c>
      <c r="F1284" s="8" t="s">
        <v>9789</v>
      </c>
      <c r="G1284" s="12" t="s">
        <v>9790</v>
      </c>
      <c r="H1284" s="12">
        <v>1</v>
      </c>
      <c r="I1284" s="13" t="str">
        <f>HYPERLINK("http://www.ncbi.nlm.nih.gov/gene/7106", "7106")</f>
        <v>7106</v>
      </c>
      <c r="J1284" s="12" t="s">
        <v>19328</v>
      </c>
      <c r="K1284" s="12" t="s">
        <v>19329</v>
      </c>
      <c r="L1284" s="13" t="str">
        <f>HYPERLINK("http://asia.ensembl.org/Homo_sapiens/Gene/Summary?g=ENSG00000214063", "ENSG00000214063")</f>
        <v>ENSG00000214063</v>
      </c>
      <c r="M1284" s="12" t="s">
        <v>19330</v>
      </c>
      <c r="N1284" s="12" t="s">
        <v>19331</v>
      </c>
    </row>
    <row r="1285" spans="1:14">
      <c r="A1285" s="12" t="s">
        <v>3980</v>
      </c>
      <c r="B1285" s="8">
        <v>177.74057398083599</v>
      </c>
      <c r="C1285" s="12">
        <v>387.12821646810397</v>
      </c>
      <c r="D1285" s="8">
        <v>-1.1230384124189801</v>
      </c>
      <c r="E1285" s="12">
        <v>3.2283056802159101E-2</v>
      </c>
      <c r="F1285" s="8" t="s">
        <v>3981</v>
      </c>
      <c r="G1285" s="12" t="s">
        <v>3982</v>
      </c>
      <c r="H1285" s="12">
        <v>1</v>
      </c>
      <c r="I1285" s="13" t="str">
        <f>HYPERLINK("http://www.ncbi.nlm.nih.gov/gene/57057", "57057")</f>
        <v>57057</v>
      </c>
      <c r="J1285" s="12" t="s">
        <v>17504</v>
      </c>
      <c r="K1285" s="12" t="s">
        <v>17505</v>
      </c>
      <c r="L1285" s="13" t="str">
        <f>HYPERLINK("http://asia.ensembl.org/Homo_sapiens/Gene/Summary?g=ENSG00000164532", "ENSG00000164532")</f>
        <v>ENSG00000164532</v>
      </c>
      <c r="M1285" s="12" t="s">
        <v>17506</v>
      </c>
      <c r="N1285" s="12" t="s">
        <v>3983</v>
      </c>
    </row>
    <row r="1286" spans="1:14">
      <c r="A1286" s="12" t="s">
        <v>9504</v>
      </c>
      <c r="B1286" s="8">
        <v>1470.65864311634</v>
      </c>
      <c r="C1286" s="12">
        <v>3202.6463877812298</v>
      </c>
      <c r="D1286" s="8">
        <v>-1.1228020960868199</v>
      </c>
      <c r="E1286" s="12">
        <v>1.3652998167978599E-2</v>
      </c>
      <c r="F1286" s="8" t="s">
        <v>6041</v>
      </c>
      <c r="G1286" s="12" t="s">
        <v>6042</v>
      </c>
      <c r="H1286" s="12">
        <v>1</v>
      </c>
      <c r="I1286" s="13" t="str">
        <f>HYPERLINK("http://www.ncbi.nlm.nih.gov/gene/10587", "10587")</f>
        <v>10587</v>
      </c>
      <c r="J1286" s="13" t="str">
        <f>HYPERLINK("http://www.ncbi.nlm.nih.gov/nuccore/NM_006440", "NM_006440")</f>
        <v>NM_006440</v>
      </c>
      <c r="K1286" s="12" t="s">
        <v>6043</v>
      </c>
      <c r="L1286" s="13" t="str">
        <f>HYPERLINK("http://asia.ensembl.org/Homo_sapiens/Gene/Summary?g=ENSG00000184470", "ENSG00000184470")</f>
        <v>ENSG00000184470</v>
      </c>
      <c r="M1286" s="12" t="s">
        <v>19176</v>
      </c>
      <c r="N1286" s="12" t="s">
        <v>19177</v>
      </c>
    </row>
    <row r="1287" spans="1:14">
      <c r="A1287" s="12" t="s">
        <v>10023</v>
      </c>
      <c r="B1287" s="8">
        <v>985.83335725571999</v>
      </c>
      <c r="C1287" s="12">
        <v>2146.8004045161802</v>
      </c>
      <c r="D1287" s="8">
        <v>-1.1227723622144601</v>
      </c>
      <c r="E1287" s="12">
        <v>7.7095500393356596E-3</v>
      </c>
      <c r="F1287" s="8" t="s">
        <v>10024</v>
      </c>
      <c r="G1287" s="12" t="s">
        <v>10025</v>
      </c>
      <c r="H1287" s="12">
        <v>1</v>
      </c>
      <c r="I1287" s="13" t="str">
        <f>HYPERLINK("http://www.ncbi.nlm.nih.gov/gene/1120", "1120")</f>
        <v>1120</v>
      </c>
      <c r="J1287" s="13" t="str">
        <f>HYPERLINK("http://www.ncbi.nlm.nih.gov/nuccore/NM_005198", "NM_005198")</f>
        <v>NM_005198</v>
      </c>
      <c r="K1287" s="12" t="s">
        <v>10026</v>
      </c>
      <c r="L1287" s="13" t="str">
        <f>HYPERLINK("http://asia.ensembl.org/Homo_sapiens/Gene/Summary?g=ENSG00000100288", "ENSG00000100288")</f>
        <v>ENSG00000100288</v>
      </c>
      <c r="M1287" s="12" t="s">
        <v>19510</v>
      </c>
      <c r="N1287" s="12" t="s">
        <v>10027</v>
      </c>
    </row>
    <row r="1288" spans="1:14">
      <c r="A1288" s="12" t="s">
        <v>9810</v>
      </c>
      <c r="B1288" s="8">
        <v>7512.8608888941999</v>
      </c>
      <c r="C1288" s="12">
        <v>16360.3452412884</v>
      </c>
      <c r="D1288" s="8">
        <v>-1.12276889870466</v>
      </c>
      <c r="E1288" s="12">
        <v>1.18297936345357E-2</v>
      </c>
      <c r="F1288" s="8" t="s">
        <v>5068</v>
      </c>
      <c r="G1288" s="12" t="s">
        <v>5069</v>
      </c>
      <c r="H1288" s="12">
        <v>1</v>
      </c>
      <c r="I1288" s="13" t="str">
        <f>HYPERLINK("http://www.ncbi.nlm.nih.gov/gene/55744", "55744")</f>
        <v>55744</v>
      </c>
      <c r="J1288" s="13" t="str">
        <f>HYPERLINK("http://www.ncbi.nlm.nih.gov/nuccore/NM_018224", "NM_018224")</f>
        <v>NM_018224</v>
      </c>
      <c r="K1288" s="12" t="s">
        <v>9811</v>
      </c>
      <c r="L1288" s="13" t="str">
        <f>HYPERLINK("http://asia.ensembl.org/Homo_sapiens/Gene/Summary?g=ENSG00000106603", "ENSG00000106603")</f>
        <v>ENSG00000106603</v>
      </c>
      <c r="M1288" s="12" t="s">
        <v>19346</v>
      </c>
      <c r="N1288" s="12" t="s">
        <v>19347</v>
      </c>
    </row>
    <row r="1289" spans="1:14">
      <c r="A1289" s="12" t="s">
        <v>6382</v>
      </c>
      <c r="B1289" s="8">
        <v>19153.115159050401</v>
      </c>
      <c r="C1289" s="12">
        <v>41705.492248978997</v>
      </c>
      <c r="D1289" s="8">
        <v>-1.1226583280970099</v>
      </c>
      <c r="E1289" s="12">
        <v>1.49706871072316E-2</v>
      </c>
      <c r="F1289" s="8" t="s">
        <v>6383</v>
      </c>
      <c r="G1289" s="12" t="s">
        <v>18137</v>
      </c>
      <c r="H1289" s="12">
        <v>1</v>
      </c>
      <c r="I1289" s="13" t="str">
        <f>HYPERLINK("http://www.ncbi.nlm.nih.gov/gene/2109", "2109")</f>
        <v>2109</v>
      </c>
      <c r="J1289" s="12" t="s">
        <v>18138</v>
      </c>
      <c r="K1289" s="12" t="s">
        <v>18139</v>
      </c>
      <c r="L1289" s="13" t="str">
        <f>HYPERLINK("http://asia.ensembl.org/Homo_sapiens/Gene/Summary?g=ENSG00000105379", "ENSG00000105379")</f>
        <v>ENSG00000105379</v>
      </c>
      <c r="M1289" s="12" t="s">
        <v>18140</v>
      </c>
      <c r="N1289" s="12" t="s">
        <v>18141</v>
      </c>
    </row>
    <row r="1290" spans="1:14">
      <c r="A1290" s="12" t="s">
        <v>1738</v>
      </c>
      <c r="B1290" s="8">
        <v>1184.4549407964801</v>
      </c>
      <c r="C1290" s="12">
        <v>2578.95674765698</v>
      </c>
      <c r="D1290" s="8">
        <v>-1.12256426111074</v>
      </c>
      <c r="E1290" s="12">
        <v>1.36030563263557E-2</v>
      </c>
      <c r="F1290" s="8" t="s">
        <v>1739</v>
      </c>
      <c r="G1290" s="12" t="s">
        <v>16780</v>
      </c>
      <c r="H1290" s="12">
        <v>1</v>
      </c>
      <c r="I1290" s="13" t="str">
        <f>HYPERLINK("http://www.ncbi.nlm.nih.gov/gene/1059", "1059")</f>
        <v>1059</v>
      </c>
      <c r="J1290" s="13" t="str">
        <f>HYPERLINK("http://www.ncbi.nlm.nih.gov/nuccore/NM_001810", "NM_001810")</f>
        <v>NM_001810</v>
      </c>
      <c r="K1290" s="12" t="s">
        <v>1740</v>
      </c>
      <c r="L1290" s="13" t="str">
        <f>HYPERLINK("http://asia.ensembl.org/Homo_sapiens/Gene/Summary?g=ENSG00000125817", "ENSG00000125817")</f>
        <v>ENSG00000125817</v>
      </c>
      <c r="M1290" s="12" t="s">
        <v>1741</v>
      </c>
      <c r="N1290" s="12" t="s">
        <v>1742</v>
      </c>
    </row>
    <row r="1291" spans="1:14">
      <c r="A1291" s="12" t="s">
        <v>10362</v>
      </c>
      <c r="B1291" s="8">
        <v>3995.8241264345202</v>
      </c>
      <c r="C1291" s="12">
        <v>8699.1515575294507</v>
      </c>
      <c r="D1291" s="8">
        <v>-1.12238161416088</v>
      </c>
      <c r="E1291" s="12">
        <v>6.5478485770373998E-3</v>
      </c>
      <c r="F1291" s="8" t="s">
        <v>6293</v>
      </c>
      <c r="G1291" s="12" t="s">
        <v>6294</v>
      </c>
      <c r="H1291" s="12">
        <v>1</v>
      </c>
      <c r="I1291" s="13" t="str">
        <f>HYPERLINK("http://www.ncbi.nlm.nih.gov/gene/284131", "284131")</f>
        <v>284131</v>
      </c>
      <c r="J1291" s="13" t="str">
        <f>HYPERLINK("http://www.ncbi.nlm.nih.gov/nuccore/NM_001164638", "NM_001164638")</f>
        <v>NM_001164638</v>
      </c>
      <c r="K1291" s="12" t="s">
        <v>10363</v>
      </c>
      <c r="L1291" s="13" t="str">
        <f>HYPERLINK("http://asia.ensembl.org/Homo_sapiens/Gene/Summary?g=ENSG00000173818", "ENSG00000173818")</f>
        <v>ENSG00000173818</v>
      </c>
      <c r="M1291" s="12" t="s">
        <v>19698</v>
      </c>
      <c r="N1291" s="12" t="s">
        <v>19699</v>
      </c>
    </row>
    <row r="1292" spans="1:14">
      <c r="A1292" s="12" t="s">
        <v>105</v>
      </c>
      <c r="B1292" s="8">
        <v>63.618612087861599</v>
      </c>
      <c r="C1292" s="12">
        <v>138.48728137277601</v>
      </c>
      <c r="D1292" s="8">
        <v>-1.1222326824057201</v>
      </c>
      <c r="E1292" s="12">
        <v>1.1637136067752201E-2</v>
      </c>
      <c r="F1292" s="8" t="s">
        <v>106</v>
      </c>
      <c r="G1292" s="12" t="s">
        <v>107</v>
      </c>
      <c r="H1292" s="12">
        <v>1</v>
      </c>
      <c r="I1292" s="13" t="str">
        <f>HYPERLINK("http://www.ncbi.nlm.nih.gov/gene/2695", "2695")</f>
        <v>2695</v>
      </c>
      <c r="J1292" s="13" t="str">
        <f>HYPERLINK("http://www.ncbi.nlm.nih.gov/nuccore/NM_004123", "NM_004123")</f>
        <v>NM_004123</v>
      </c>
      <c r="K1292" s="12" t="s">
        <v>108</v>
      </c>
      <c r="L1292" s="13" t="str">
        <f>HYPERLINK("http://asia.ensembl.org/Homo_sapiens/Gene/Summary?g=ENSG00000159224", "ENSG00000159224")</f>
        <v>ENSG00000159224</v>
      </c>
      <c r="M1292" s="12" t="s">
        <v>109</v>
      </c>
      <c r="N1292" s="12" t="s">
        <v>110</v>
      </c>
    </row>
    <row r="1293" spans="1:14">
      <c r="A1293" s="12" t="s">
        <v>2069</v>
      </c>
      <c r="B1293" s="8">
        <v>25821.3767821033</v>
      </c>
      <c r="C1293" s="12">
        <v>56201.739836980101</v>
      </c>
      <c r="D1293" s="8">
        <v>-1.122048866211</v>
      </c>
      <c r="E1293" s="12">
        <v>5.2669200850087999E-3</v>
      </c>
      <c r="F1293" s="8" t="s">
        <v>2070</v>
      </c>
      <c r="G1293" s="12" t="s">
        <v>2071</v>
      </c>
      <c r="H1293" s="12">
        <v>1</v>
      </c>
      <c r="I1293" s="13" t="str">
        <f>HYPERLINK("http://www.ncbi.nlm.nih.gov/gene/29937", "29937")</f>
        <v>29937</v>
      </c>
      <c r="J1293" s="12" t="s">
        <v>16908</v>
      </c>
      <c r="K1293" s="12" t="s">
        <v>16909</v>
      </c>
      <c r="L1293" s="13" t="str">
        <f>HYPERLINK("http://asia.ensembl.org/Homo_sapiens/Gene/Summary?g=ENSG00000117691", "ENSG00000117691")</f>
        <v>ENSG00000117691</v>
      </c>
      <c r="M1293" s="12" t="s">
        <v>16910</v>
      </c>
      <c r="N1293" s="12" t="s">
        <v>2072</v>
      </c>
    </row>
    <row r="1294" spans="1:14">
      <c r="A1294" s="12" t="s">
        <v>4544</v>
      </c>
      <c r="B1294" s="8">
        <v>205.639694166765</v>
      </c>
      <c r="C1294" s="12">
        <v>447.51611142235402</v>
      </c>
      <c r="D1294" s="8">
        <v>-1.12182085146374</v>
      </c>
      <c r="E1294" s="12">
        <v>3.9302740000986998E-2</v>
      </c>
      <c r="F1294" s="8" t="s">
        <v>4545</v>
      </c>
      <c r="G1294" s="12" t="s">
        <v>4546</v>
      </c>
      <c r="H1294" s="12">
        <v>1</v>
      </c>
      <c r="I1294" s="13" t="str">
        <f>HYPERLINK("http://www.ncbi.nlm.nih.gov/gene/23440", "23440")</f>
        <v>23440</v>
      </c>
      <c r="J1294" s="13" t="str">
        <f>HYPERLINK("http://www.ncbi.nlm.nih.gov/nuccore/NM_032109", "NM_032109")</f>
        <v>NM_032109</v>
      </c>
      <c r="K1294" s="12" t="s">
        <v>4547</v>
      </c>
      <c r="L1294" s="13" t="str">
        <f>HYPERLINK("http://asia.ensembl.org/Homo_sapiens/Gene/Summary?g=ENSG00000171540", "ENSG00000171540")</f>
        <v>ENSG00000171540</v>
      </c>
      <c r="M1294" s="12" t="s">
        <v>17711</v>
      </c>
      <c r="N1294" s="12" t="s">
        <v>4548</v>
      </c>
    </row>
    <row r="1295" spans="1:14">
      <c r="A1295" s="12" t="s">
        <v>11145</v>
      </c>
      <c r="B1295" s="8">
        <v>948.23300103053305</v>
      </c>
      <c r="C1295" s="12">
        <v>2063.0086929029198</v>
      </c>
      <c r="D1295" s="8">
        <v>-1.12143639164817</v>
      </c>
      <c r="E1295" s="12">
        <v>1.1515813619419999E-2</v>
      </c>
      <c r="F1295" s="8" t="s">
        <v>623</v>
      </c>
      <c r="G1295" s="12" t="s">
        <v>624</v>
      </c>
      <c r="H1295" s="12">
        <v>1</v>
      </c>
      <c r="I1295" s="13" t="str">
        <f>HYPERLINK("http://www.ncbi.nlm.nih.gov/gene/51027", "51027")</f>
        <v>51027</v>
      </c>
      <c r="J1295" s="13" t="str">
        <f>HYPERLINK("http://www.ncbi.nlm.nih.gov/nuccore/NM_016074", "NM_016074")</f>
        <v>NM_016074</v>
      </c>
      <c r="K1295" s="12" t="s">
        <v>625</v>
      </c>
      <c r="L1295" s="13" t="str">
        <f>HYPERLINK("http://asia.ensembl.org/Homo_sapiens/Gene/Summary?g=ENSG00000178096", "ENSG00000178096")</f>
        <v>ENSG00000178096</v>
      </c>
      <c r="M1295" s="12" t="s">
        <v>16397</v>
      </c>
      <c r="N1295" s="12" t="s">
        <v>16398</v>
      </c>
    </row>
    <row r="1296" spans="1:14">
      <c r="A1296" s="12" t="s">
        <v>2350</v>
      </c>
      <c r="B1296" s="8">
        <v>49.999999999999901</v>
      </c>
      <c r="C1296" s="12">
        <v>108.70450669622799</v>
      </c>
      <c r="D1296" s="8">
        <v>-1.1204117531851101</v>
      </c>
      <c r="E1296" s="12">
        <v>1.7791538423127199E-2</v>
      </c>
      <c r="F1296" s="8" t="s">
        <v>2351</v>
      </c>
      <c r="G1296" s="12" t="s">
        <v>16980</v>
      </c>
      <c r="H1296" s="12">
        <v>1</v>
      </c>
      <c r="I1296" s="13" t="str">
        <f>HYPERLINK("http://www.ncbi.nlm.nih.gov/gene/26240", "26240")</f>
        <v>26240</v>
      </c>
      <c r="J1296" s="13" t="str">
        <f>HYPERLINK("http://www.ncbi.nlm.nih.gov/nuccore/NM_012135", "NM_012135")</f>
        <v>NM_012135</v>
      </c>
      <c r="K1296" s="12" t="s">
        <v>2352</v>
      </c>
      <c r="L1296" s="13" t="str">
        <f>HYPERLINK("http://asia.ensembl.org/Homo_sapiens/Gene/Summary?g=ENSG00000145945", "ENSG00000145945")</f>
        <v>ENSG00000145945</v>
      </c>
      <c r="M1296" s="12" t="s">
        <v>16981</v>
      </c>
      <c r="N1296" s="12" t="s">
        <v>16982</v>
      </c>
    </row>
    <row r="1297" spans="1:14">
      <c r="A1297" s="12" t="s">
        <v>6771</v>
      </c>
      <c r="B1297" s="8">
        <v>28786.414139629102</v>
      </c>
      <c r="C1297" s="12">
        <v>62559.5608449586</v>
      </c>
      <c r="D1297" s="8">
        <v>-1.11984229852141</v>
      </c>
      <c r="E1297" s="12">
        <v>1.1867977814482599E-2</v>
      </c>
      <c r="F1297" s="8" t="s">
        <v>6772</v>
      </c>
      <c r="G1297" s="12" t="s">
        <v>6773</v>
      </c>
      <c r="H1297" s="12">
        <v>1</v>
      </c>
      <c r="I1297" s="13" t="str">
        <f>HYPERLINK("http://www.ncbi.nlm.nih.gov/gene/29997", "29997")</f>
        <v>29997</v>
      </c>
      <c r="J1297" s="13" t="str">
        <f>HYPERLINK("http://www.ncbi.nlm.nih.gov/nuccore/NM_015710", "NM_015710")</f>
        <v>NM_015710</v>
      </c>
      <c r="K1297" s="12" t="s">
        <v>6774</v>
      </c>
      <c r="L1297" s="13" t="str">
        <f>HYPERLINK("http://asia.ensembl.org/Homo_sapiens/Gene/Summary?g=ENSG00000105373", "ENSG00000105373")</f>
        <v>ENSG00000105373</v>
      </c>
      <c r="M1297" s="12" t="s">
        <v>18255</v>
      </c>
      <c r="N1297" s="12" t="s">
        <v>18256</v>
      </c>
    </row>
    <row r="1298" spans="1:14">
      <c r="A1298" s="12" t="s">
        <v>7391</v>
      </c>
      <c r="B1298" s="8">
        <v>9983.64667850148</v>
      </c>
      <c r="C1298" s="12">
        <v>21696.3186078615</v>
      </c>
      <c r="D1298" s="8">
        <v>-1.11981148634407</v>
      </c>
      <c r="E1298" s="12">
        <v>1.7525786701562698E-2</v>
      </c>
      <c r="F1298" s="8" t="s">
        <v>507</v>
      </c>
      <c r="G1298" s="12" t="s">
        <v>16353</v>
      </c>
      <c r="H1298" s="12">
        <v>1</v>
      </c>
      <c r="I1298" s="13" t="str">
        <f>HYPERLINK("http://www.ncbi.nlm.nih.gov/gene/51647", "51647")</f>
        <v>51647</v>
      </c>
      <c r="J1298" s="12" t="s">
        <v>16354</v>
      </c>
      <c r="K1298" s="12" t="s">
        <v>16355</v>
      </c>
      <c r="L1298" s="13" t="str">
        <f>HYPERLINK("http://asia.ensembl.org/Homo_sapiens/Gene/Summary?g=ENSG00000166595", "ENSG00000166595")</f>
        <v>ENSG00000166595</v>
      </c>
      <c r="M1298" s="12" t="s">
        <v>16356</v>
      </c>
      <c r="N1298" s="12" t="s">
        <v>16357</v>
      </c>
    </row>
    <row r="1299" spans="1:14">
      <c r="A1299" s="12" t="s">
        <v>9043</v>
      </c>
      <c r="B1299" s="8">
        <v>20202.1856920219</v>
      </c>
      <c r="C1299" s="12">
        <v>43903.016111556099</v>
      </c>
      <c r="D1299" s="8">
        <v>-1.1198086676205199</v>
      </c>
      <c r="E1299" s="12">
        <v>7.43553288359347E-3</v>
      </c>
      <c r="F1299" s="8" t="s">
        <v>9044</v>
      </c>
      <c r="G1299" s="12" t="s">
        <v>352</v>
      </c>
      <c r="H1299" s="12">
        <v>1</v>
      </c>
      <c r="I1299" s="13" t="str">
        <f>HYPERLINK("http://www.ncbi.nlm.nih.gov/gene/11164", "11164")</f>
        <v>11164</v>
      </c>
      <c r="J1299" s="13" t="str">
        <f>HYPERLINK("http://www.ncbi.nlm.nih.gov/nuccore/NM_014142", "NM_014142")</f>
        <v>NM_014142</v>
      </c>
      <c r="K1299" s="12" t="s">
        <v>9045</v>
      </c>
      <c r="L1299" s="13" t="str">
        <f>HYPERLINK("http://asia.ensembl.org/Homo_sapiens/Gene/Summary?g=ENSG00000165609", "ENSG00000165609")</f>
        <v>ENSG00000165609</v>
      </c>
      <c r="M1299" s="12" t="s">
        <v>19048</v>
      </c>
      <c r="N1299" s="12" t="s">
        <v>19049</v>
      </c>
    </row>
    <row r="1300" spans="1:14">
      <c r="A1300" s="12" t="s">
        <v>7913</v>
      </c>
      <c r="B1300" s="8">
        <v>33659.669295878302</v>
      </c>
      <c r="C1300" s="12">
        <v>73119.4193529232</v>
      </c>
      <c r="D1300" s="8">
        <v>-1.1192336115363799</v>
      </c>
      <c r="E1300" s="12">
        <v>1.0595011574068699E-3</v>
      </c>
      <c r="F1300" s="8" t="s">
        <v>5586</v>
      </c>
      <c r="G1300" s="12" t="s">
        <v>17909</v>
      </c>
      <c r="H1300" s="12">
        <v>1</v>
      </c>
      <c r="I1300" s="13" t="str">
        <f>HYPERLINK("http://www.ncbi.nlm.nih.gov/gene/539", "539")</f>
        <v>539</v>
      </c>
      <c r="J1300" s="13" t="str">
        <f>HYPERLINK("http://www.ncbi.nlm.nih.gov/nuccore/NM_001697", "NM_001697")</f>
        <v>NM_001697</v>
      </c>
      <c r="K1300" s="12" t="s">
        <v>5587</v>
      </c>
      <c r="L1300" s="13" t="str">
        <f>HYPERLINK("http://asia.ensembl.org/Homo_sapiens/Gene/Summary?g=ENSG00000241837", "ENSG00000241837")</f>
        <v>ENSG00000241837</v>
      </c>
      <c r="M1300" s="12" t="s">
        <v>17910</v>
      </c>
      <c r="N1300" s="12" t="s">
        <v>17911</v>
      </c>
    </row>
    <row r="1301" spans="1:14">
      <c r="A1301" s="12" t="s">
        <v>10810</v>
      </c>
      <c r="B1301" s="8">
        <v>941.920565652395</v>
      </c>
      <c r="C1301" s="12">
        <v>2045.4157634666301</v>
      </c>
      <c r="D1301" s="8">
        <v>-1.11871681955624</v>
      </c>
      <c r="E1301" s="12">
        <v>2.8912059009652E-3</v>
      </c>
      <c r="F1301" s="8" t="s">
        <v>3720</v>
      </c>
      <c r="G1301" s="12" t="s">
        <v>3721</v>
      </c>
      <c r="H1301" s="12">
        <v>4</v>
      </c>
      <c r="I1301" s="12" t="s">
        <v>3722</v>
      </c>
      <c r="J1301" s="12" t="s">
        <v>3723</v>
      </c>
      <c r="K1301" s="12" t="s">
        <v>3724</v>
      </c>
      <c r="L1301" s="13" t="str">
        <f>HYPERLINK("http://asia.ensembl.org/Homo_sapiens/Gene/Summary?g=ENSG00000214435", "ENSG00000214435")</f>
        <v>ENSG00000214435</v>
      </c>
      <c r="M1301" s="12" t="s">
        <v>19857</v>
      </c>
      <c r="N1301" s="12" t="s">
        <v>19858</v>
      </c>
    </row>
    <row r="1302" spans="1:14">
      <c r="A1302" s="12" t="s">
        <v>5701</v>
      </c>
      <c r="B1302" s="8">
        <v>1625.89177348267</v>
      </c>
      <c r="C1302" s="12">
        <v>3529.9640709107498</v>
      </c>
      <c r="D1302" s="8">
        <v>-1.1184222708923801</v>
      </c>
      <c r="E1302" s="12">
        <v>1.01176892384463E-2</v>
      </c>
      <c r="F1302" s="8" t="s">
        <v>5702</v>
      </c>
      <c r="G1302" s="12" t="s">
        <v>5703</v>
      </c>
      <c r="H1302" s="12">
        <v>1</v>
      </c>
      <c r="I1302" s="13" t="str">
        <f>HYPERLINK("http://www.ncbi.nlm.nih.gov/gene/23587", "23587")</f>
        <v>23587</v>
      </c>
      <c r="J1302" s="12" t="s">
        <v>17939</v>
      </c>
      <c r="K1302" s="12" t="s">
        <v>17940</v>
      </c>
      <c r="L1302" s="13" t="str">
        <f>HYPERLINK("http://asia.ensembl.org/Homo_sapiens/Gene/Summary?g=ENSG00000170291", "ENSG00000170291")</f>
        <v>ENSG00000170291</v>
      </c>
      <c r="M1302" s="12" t="s">
        <v>17941</v>
      </c>
      <c r="N1302" s="12" t="s">
        <v>17942</v>
      </c>
    </row>
    <row r="1303" spans="1:14">
      <c r="A1303" s="12" t="s">
        <v>6892</v>
      </c>
      <c r="B1303" s="8">
        <v>18319.054418447198</v>
      </c>
      <c r="C1303" s="12">
        <v>39765.648971788098</v>
      </c>
      <c r="D1303" s="8">
        <v>-1.11817767854905</v>
      </c>
      <c r="E1303" s="12">
        <v>9.0342706833556694E-3</v>
      </c>
      <c r="F1303" s="8" t="s">
        <v>6893</v>
      </c>
      <c r="G1303" s="12" t="s">
        <v>286</v>
      </c>
      <c r="H1303" s="12">
        <v>1</v>
      </c>
      <c r="I1303" s="13" t="str">
        <f>HYPERLINK("http://www.ncbi.nlm.nih.gov/gene/4729", "4729")</f>
        <v>4729</v>
      </c>
      <c r="J1303" s="13" t="str">
        <f>HYPERLINK("http://www.ncbi.nlm.nih.gov/nuccore/NM_021074", "NM_021074")</f>
        <v>NM_021074</v>
      </c>
      <c r="K1303" s="12" t="s">
        <v>6894</v>
      </c>
      <c r="L1303" s="13" t="str">
        <f>HYPERLINK("http://asia.ensembl.org/Homo_sapiens/Gene/Summary?g=ENSG00000178127", "ENSG00000178127")</f>
        <v>ENSG00000178127</v>
      </c>
      <c r="M1303" s="12" t="s">
        <v>18287</v>
      </c>
      <c r="N1303" s="12" t="s">
        <v>18288</v>
      </c>
    </row>
    <row r="1304" spans="1:14">
      <c r="A1304" s="12" t="s">
        <v>1605</v>
      </c>
      <c r="B1304" s="8">
        <v>11376.559898956901</v>
      </c>
      <c r="C1304" s="12">
        <v>24694.413924947501</v>
      </c>
      <c r="D1304" s="8">
        <v>-1.1181203552419601</v>
      </c>
      <c r="E1304" s="12">
        <v>1.1664035786369899E-2</v>
      </c>
      <c r="F1304" s="8" t="s">
        <v>1606</v>
      </c>
      <c r="G1304" s="12" t="s">
        <v>16711</v>
      </c>
      <c r="H1304" s="12">
        <v>1</v>
      </c>
      <c r="I1304" s="13" t="str">
        <f>HYPERLINK("http://www.ncbi.nlm.nih.gov/gene/708", "708")</f>
        <v>708</v>
      </c>
      <c r="J1304" s="13" t="str">
        <f>HYPERLINK("http://www.ncbi.nlm.nih.gov/nuccore/NM_001212", "NM_001212")</f>
        <v>NM_001212</v>
      </c>
      <c r="K1304" s="12" t="s">
        <v>1607</v>
      </c>
      <c r="L1304" s="13" t="str">
        <f>HYPERLINK("http://asia.ensembl.org/Homo_sapiens/Gene/Summary?g=ENSG00000108561", "ENSG00000108561")</f>
        <v>ENSG00000108561</v>
      </c>
      <c r="M1304" s="12" t="s">
        <v>16712</v>
      </c>
      <c r="N1304" s="12" t="s">
        <v>16713</v>
      </c>
    </row>
    <row r="1305" spans="1:14">
      <c r="A1305" s="12" t="s">
        <v>271</v>
      </c>
      <c r="B1305" s="8">
        <v>9472.7393606430996</v>
      </c>
      <c r="C1305" s="12">
        <v>20560.570268144202</v>
      </c>
      <c r="D1305" s="8">
        <v>-1.1180266848349101</v>
      </c>
      <c r="E1305" s="12">
        <v>1.0736826366218701E-2</v>
      </c>
      <c r="F1305" s="8" t="s">
        <v>272</v>
      </c>
      <c r="G1305" s="12" t="s">
        <v>273</v>
      </c>
      <c r="H1305" s="12">
        <v>1</v>
      </c>
      <c r="I1305" s="13" t="str">
        <f>HYPERLINK("http://www.ncbi.nlm.nih.gov/gene/23583", "23583")</f>
        <v>23583</v>
      </c>
      <c r="J1305" s="12" t="s">
        <v>16303</v>
      </c>
      <c r="K1305" s="12" t="s">
        <v>16304</v>
      </c>
      <c r="L1305" s="13" t="str">
        <f>HYPERLINK("http://asia.ensembl.org/Homo_sapiens/Gene/Summary?g=ENSG00000123415", "ENSG00000123415")</f>
        <v>ENSG00000123415</v>
      </c>
      <c r="M1305" s="12" t="s">
        <v>16305</v>
      </c>
      <c r="N1305" s="12" t="s">
        <v>16306</v>
      </c>
    </row>
    <row r="1306" spans="1:14">
      <c r="A1306" s="12" t="s">
        <v>132</v>
      </c>
      <c r="B1306" s="8">
        <v>181.76109691487599</v>
      </c>
      <c r="C1306" s="12">
        <v>394.51157181232003</v>
      </c>
      <c r="D1306" s="8">
        <v>-1.1180241714461101</v>
      </c>
      <c r="E1306" s="12">
        <v>1.1327063611849699E-2</v>
      </c>
      <c r="F1306" s="8" t="s">
        <v>133</v>
      </c>
      <c r="G1306" s="12" t="s">
        <v>16260</v>
      </c>
      <c r="H1306" s="12">
        <v>1</v>
      </c>
      <c r="I1306" s="13" t="str">
        <f>HYPERLINK("http://www.ncbi.nlm.nih.gov/gene/6119", "6119")</f>
        <v>6119</v>
      </c>
      <c r="J1306" s="13" t="str">
        <f>HYPERLINK("http://www.ncbi.nlm.nih.gov/nuccore/NM_002947", "NM_002947")</f>
        <v>NM_002947</v>
      </c>
      <c r="K1306" s="12" t="s">
        <v>134</v>
      </c>
      <c r="L1306" s="13" t="str">
        <f>HYPERLINK("http://asia.ensembl.org/Homo_sapiens/Gene/Summary?g=ENSG00000106399", "ENSG00000106399")</f>
        <v>ENSG00000106399</v>
      </c>
      <c r="M1306" s="12" t="s">
        <v>16261</v>
      </c>
      <c r="N1306" s="12" t="s">
        <v>16262</v>
      </c>
    </row>
    <row r="1307" spans="1:14">
      <c r="A1307" s="12" t="s">
        <v>7212</v>
      </c>
      <c r="B1307" s="8">
        <v>1175.0884931761</v>
      </c>
      <c r="C1307" s="12">
        <v>2549.6667840328801</v>
      </c>
      <c r="D1307" s="8">
        <v>-1.11753930669711</v>
      </c>
      <c r="E1307" s="12">
        <v>9.4015586421545196E-3</v>
      </c>
      <c r="F1307" s="8" t="s">
        <v>7213</v>
      </c>
      <c r="G1307" s="12" t="s">
        <v>7214</v>
      </c>
      <c r="H1307" s="12">
        <v>1</v>
      </c>
      <c r="I1307" s="13" t="str">
        <f>HYPERLINK("http://www.ncbi.nlm.nih.gov/gene/6273", "6273")</f>
        <v>6273</v>
      </c>
      <c r="J1307" s="13" t="str">
        <f>HYPERLINK("http://www.ncbi.nlm.nih.gov/nuccore/NM_005978", "NM_005978")</f>
        <v>NM_005978</v>
      </c>
      <c r="K1307" s="12" t="s">
        <v>7215</v>
      </c>
      <c r="L1307" s="13" t="str">
        <f>HYPERLINK("http://asia.ensembl.org/Homo_sapiens/Gene/Summary?g=ENSG00000196754", "ENSG00000196754")</f>
        <v>ENSG00000196754</v>
      </c>
      <c r="M1307" s="12" t="s">
        <v>18426</v>
      </c>
      <c r="N1307" s="12" t="s">
        <v>18427</v>
      </c>
    </row>
    <row r="1308" spans="1:14">
      <c r="A1308" s="12" t="s">
        <v>2143</v>
      </c>
      <c r="B1308" s="8">
        <v>14332.8448988533</v>
      </c>
      <c r="C1308" s="12">
        <v>31098.570457210099</v>
      </c>
      <c r="D1308" s="8">
        <v>-1.11752326811201</v>
      </c>
      <c r="E1308" s="12">
        <v>6.8984665530274101E-3</v>
      </c>
      <c r="F1308" s="8" t="s">
        <v>2144</v>
      </c>
      <c r="G1308" s="12" t="s">
        <v>2145</v>
      </c>
      <c r="H1308" s="12">
        <v>1</v>
      </c>
      <c r="I1308" s="13" t="str">
        <f>HYPERLINK("http://www.ncbi.nlm.nih.gov/gene/5476", "5476")</f>
        <v>5476</v>
      </c>
      <c r="J1308" s="12" t="s">
        <v>16945</v>
      </c>
      <c r="K1308" s="12" t="s">
        <v>16946</v>
      </c>
      <c r="L1308" s="13" t="str">
        <f>HYPERLINK("http://asia.ensembl.org/Homo_sapiens/Gene/Summary?g=ENSG00000064601", "ENSG00000064601")</f>
        <v>ENSG00000064601</v>
      </c>
      <c r="M1308" s="12" t="s">
        <v>16947</v>
      </c>
      <c r="N1308" s="12" t="s">
        <v>16948</v>
      </c>
    </row>
    <row r="1309" spans="1:14">
      <c r="A1309" s="12" t="s">
        <v>6252</v>
      </c>
      <c r="B1309" s="8">
        <v>4867.4001930602499</v>
      </c>
      <c r="C1309" s="12">
        <v>10560.830333641499</v>
      </c>
      <c r="D1309" s="8">
        <v>-1.1174999678294799</v>
      </c>
      <c r="E1309" s="12">
        <v>1.19375991778321E-2</v>
      </c>
      <c r="F1309" s="8" t="s">
        <v>6253</v>
      </c>
      <c r="G1309" s="12" t="s">
        <v>286</v>
      </c>
      <c r="H1309" s="12">
        <v>1</v>
      </c>
      <c r="I1309" s="13" t="str">
        <f>HYPERLINK("http://www.ncbi.nlm.nih.gov/gene/29078", "29078")</f>
        <v>29078</v>
      </c>
      <c r="J1309" s="13" t="str">
        <f>HYPERLINK("http://www.ncbi.nlm.nih.gov/nuccore/NM_014165", "NM_014165")</f>
        <v>NM_014165</v>
      </c>
      <c r="K1309" s="12" t="s">
        <v>6254</v>
      </c>
      <c r="L1309" s="13" t="str">
        <f>HYPERLINK("http://asia.ensembl.org/Homo_sapiens/Gene/Summary?g=ENSG00000123545", "ENSG00000123545")</f>
        <v>ENSG00000123545</v>
      </c>
      <c r="M1309" s="12" t="s">
        <v>15443</v>
      </c>
      <c r="N1309" s="12" t="s">
        <v>6255</v>
      </c>
    </row>
    <row r="1310" spans="1:14">
      <c r="A1310" s="12" t="s">
        <v>6319</v>
      </c>
      <c r="B1310" s="8">
        <v>10085.0077063521</v>
      </c>
      <c r="C1310" s="12">
        <v>21879.502829173001</v>
      </c>
      <c r="D1310" s="8">
        <v>-1.11736776958186</v>
      </c>
      <c r="E1310" s="12">
        <v>2.6094942032951502E-3</v>
      </c>
      <c r="F1310" s="8" t="s">
        <v>6320</v>
      </c>
      <c r="G1310" s="12" t="s">
        <v>6321</v>
      </c>
      <c r="H1310" s="12">
        <v>1</v>
      </c>
      <c r="I1310" s="13" t="str">
        <f>HYPERLINK("http://www.ncbi.nlm.nih.gov/gene/51070", "51070")</f>
        <v>51070</v>
      </c>
      <c r="J1310" s="12" t="s">
        <v>18120</v>
      </c>
      <c r="K1310" s="12" t="s">
        <v>18121</v>
      </c>
      <c r="L1310" s="13" t="str">
        <f>HYPERLINK("http://asia.ensembl.org/Homo_sapiens/Gene/Summary?g=ENSG00000142546", "ENSG00000142546")</f>
        <v>ENSG00000142546</v>
      </c>
      <c r="M1310" s="12" t="s">
        <v>18122</v>
      </c>
      <c r="N1310" s="12" t="s">
        <v>18123</v>
      </c>
    </row>
    <row r="1311" spans="1:14">
      <c r="A1311" s="12" t="s">
        <v>11804</v>
      </c>
      <c r="B1311" s="8">
        <v>50</v>
      </c>
      <c r="C1311" s="12">
        <v>108.45940039404501</v>
      </c>
      <c r="D1311" s="8">
        <v>-1.11715509970577</v>
      </c>
      <c r="E1311" s="12">
        <v>1.04434011623896E-4</v>
      </c>
      <c r="F1311" s="8" t="s">
        <v>11805</v>
      </c>
      <c r="G1311" s="12" t="s">
        <v>11806</v>
      </c>
      <c r="H1311" s="12">
        <v>1</v>
      </c>
      <c r="I1311" s="13" t="str">
        <f>HYPERLINK("http://www.ncbi.nlm.nih.gov/gene/645249", "645249")</f>
        <v>645249</v>
      </c>
      <c r="J1311" s="13" t="str">
        <f>HYPERLINK("http://www.ncbi.nlm.nih.gov/nuccore/NR_038835", "NR_038835")</f>
        <v>NR_038835</v>
      </c>
      <c r="K1311" s="12" t="s">
        <v>199</v>
      </c>
      <c r="L1311" s="13" t="str">
        <f>HYPERLINK("http://asia.ensembl.org/Homo_sapiens/Gene/Summary?g=ENSG00000243479", "ENSG00000243479")</f>
        <v>ENSG00000243479</v>
      </c>
      <c r="M1311" s="12" t="s">
        <v>11807</v>
      </c>
    </row>
    <row r="1312" spans="1:14">
      <c r="A1312" s="12" t="s">
        <v>7548</v>
      </c>
      <c r="B1312" s="8">
        <v>125.5518885173</v>
      </c>
      <c r="C1312" s="12">
        <v>272.33193749566198</v>
      </c>
      <c r="D1312" s="8">
        <v>-1.11708245373524</v>
      </c>
      <c r="E1312" s="12">
        <v>5.3550442794018504E-3</v>
      </c>
      <c r="F1312" s="8" t="s">
        <v>7549</v>
      </c>
      <c r="G1312" s="12" t="s">
        <v>18570</v>
      </c>
      <c r="H1312" s="12">
        <v>1</v>
      </c>
      <c r="I1312" s="13" t="str">
        <f>HYPERLINK("http://www.ncbi.nlm.nih.gov/gene/150160", "150160")</f>
        <v>150160</v>
      </c>
      <c r="J1312" s="13" t="str">
        <f>HYPERLINK("http://www.ncbi.nlm.nih.gov/nuccore/NM_014406", "NM_014406")</f>
        <v>NM_014406</v>
      </c>
      <c r="K1312" s="12" t="s">
        <v>7550</v>
      </c>
      <c r="L1312" s="13" t="str">
        <f>HYPERLINK("http://asia.ensembl.org/Homo_sapiens/Gene/Summary?g=ENSG00000198445", "ENSG00000198445")</f>
        <v>ENSG00000198445</v>
      </c>
      <c r="M1312" s="12" t="s">
        <v>7551</v>
      </c>
      <c r="N1312" s="12" t="s">
        <v>7552</v>
      </c>
    </row>
    <row r="1313" spans="1:14">
      <c r="A1313" s="12" t="s">
        <v>637</v>
      </c>
      <c r="B1313" s="8">
        <v>36558.775234682202</v>
      </c>
      <c r="C1313" s="12">
        <v>79238.158860313604</v>
      </c>
      <c r="D1313" s="8">
        <v>-1.11597761975718</v>
      </c>
      <c r="E1313" s="12">
        <v>4.6392466384645699E-3</v>
      </c>
      <c r="F1313" s="8" t="s">
        <v>638</v>
      </c>
      <c r="G1313" s="12" t="s">
        <v>639</v>
      </c>
      <c r="H1313" s="12">
        <v>1</v>
      </c>
      <c r="I1313" s="13" t="str">
        <f>HYPERLINK("http://www.ncbi.nlm.nih.gov/gene/55505", "55505")</f>
        <v>55505</v>
      </c>
      <c r="J1313" s="13" t="str">
        <f>HYPERLINK("http://www.ncbi.nlm.nih.gov/nuccore/NM_018648", "NM_018648")</f>
        <v>NM_018648</v>
      </c>
      <c r="K1313" s="12" t="s">
        <v>640</v>
      </c>
      <c r="L1313" s="13" t="str">
        <f>HYPERLINK("http://asia.ensembl.org/Homo_sapiens/Gene/Summary?g=ENSG00000182117", "ENSG00000182117")</f>
        <v>ENSG00000182117</v>
      </c>
      <c r="M1313" s="12" t="s">
        <v>16399</v>
      </c>
      <c r="N1313" s="12" t="s">
        <v>16400</v>
      </c>
    </row>
    <row r="1314" spans="1:14">
      <c r="A1314" s="12" t="s">
        <v>39</v>
      </c>
      <c r="B1314" s="8">
        <v>48549.000698154399</v>
      </c>
      <c r="C1314" s="12">
        <v>105215.07651759499</v>
      </c>
      <c r="D1314" s="8">
        <v>-1.1158279410905501</v>
      </c>
      <c r="E1314" s="12">
        <v>3.1550333348763001E-3</v>
      </c>
      <c r="F1314" s="8" t="s">
        <v>40</v>
      </c>
      <c r="G1314" s="12" t="s">
        <v>16228</v>
      </c>
      <c r="H1314" s="12">
        <v>1</v>
      </c>
      <c r="I1314" s="13" t="str">
        <f>HYPERLINK("http://www.ncbi.nlm.nih.gov/gene/518", "518")</f>
        <v>518</v>
      </c>
      <c r="J1314" s="12" t="s">
        <v>16229</v>
      </c>
      <c r="K1314" s="12" t="s">
        <v>16230</v>
      </c>
      <c r="L1314" s="13" t="str">
        <f>HYPERLINK("http://asia.ensembl.org/Homo_sapiens/Gene/Summary?g=ENSG00000154518", "ENSG00000154518")</f>
        <v>ENSG00000154518</v>
      </c>
      <c r="M1314" s="12" t="s">
        <v>16231</v>
      </c>
      <c r="N1314" s="12" t="s">
        <v>16232</v>
      </c>
    </row>
    <row r="1315" spans="1:14">
      <c r="A1315" s="12" t="s">
        <v>7533</v>
      </c>
      <c r="B1315" s="8">
        <v>772.77589957035605</v>
      </c>
      <c r="C1315" s="12">
        <v>1674.1156790139901</v>
      </c>
      <c r="D1315" s="8">
        <v>-1.11527721260466</v>
      </c>
      <c r="E1315" s="12">
        <v>6.3289809625425297E-3</v>
      </c>
      <c r="F1315" s="8" t="s">
        <v>7534</v>
      </c>
      <c r="G1315" s="12" t="s">
        <v>18561</v>
      </c>
      <c r="H1315" s="12">
        <v>1</v>
      </c>
      <c r="I1315" s="13" t="str">
        <f>HYPERLINK("http://www.ncbi.nlm.nih.gov/gene/3755", "3755")</f>
        <v>3755</v>
      </c>
      <c r="J1315" s="13" t="str">
        <f>HYPERLINK("http://www.ncbi.nlm.nih.gov/nuccore/NM_002237", "NM_002237")</f>
        <v>NM_002237</v>
      </c>
      <c r="K1315" s="12" t="s">
        <v>7535</v>
      </c>
      <c r="L1315" s="13" t="str">
        <f>HYPERLINK("http://asia.ensembl.org/Homo_sapiens/Gene/Summary?g=ENSG00000026559", "ENSG00000026559")</f>
        <v>ENSG00000026559</v>
      </c>
      <c r="M1315" s="12" t="s">
        <v>18562</v>
      </c>
      <c r="N1315" s="12" t="s">
        <v>18563</v>
      </c>
    </row>
    <row r="1316" spans="1:14">
      <c r="A1316" s="12" t="s">
        <v>10095</v>
      </c>
      <c r="B1316" s="8">
        <v>2802.55298423063</v>
      </c>
      <c r="C1316" s="12">
        <v>6071.2457918457103</v>
      </c>
      <c r="D1316" s="8">
        <v>-1.11525093282553</v>
      </c>
      <c r="E1316" s="12">
        <v>6.4449238657533102E-3</v>
      </c>
      <c r="F1316" s="8" t="s">
        <v>6829</v>
      </c>
      <c r="G1316" s="12" t="s">
        <v>6830</v>
      </c>
      <c r="H1316" s="12">
        <v>1</v>
      </c>
      <c r="I1316" s="13" t="str">
        <f>HYPERLINK("http://www.ncbi.nlm.nih.gov/gene/2029", "2029")</f>
        <v>2029</v>
      </c>
      <c r="J1316" s="13" t="str">
        <f>HYPERLINK("http://www.ncbi.nlm.nih.gov/nuccore/NM_207168", "NM_207168")</f>
        <v>NM_207168</v>
      </c>
      <c r="K1316" s="12" t="s">
        <v>10096</v>
      </c>
      <c r="L1316" s="13" t="str">
        <f>HYPERLINK("http://asia.ensembl.org/Homo_sapiens/Gene/Summary?g=ENSG00000143420", "ENSG00000143420")</f>
        <v>ENSG00000143420</v>
      </c>
      <c r="M1316" s="12" t="s">
        <v>19534</v>
      </c>
      <c r="N1316" s="12" t="s">
        <v>19535</v>
      </c>
    </row>
    <row r="1317" spans="1:14">
      <c r="A1317" s="12" t="s">
        <v>11367</v>
      </c>
      <c r="B1317" s="8">
        <v>53227.696812582501</v>
      </c>
      <c r="C1317" s="12">
        <v>115276.503499649</v>
      </c>
      <c r="D1317" s="8">
        <v>-1.11484943566064</v>
      </c>
      <c r="E1317" s="12">
        <v>2.1888228809949901E-2</v>
      </c>
      <c r="F1317" s="8" t="s">
        <v>11368</v>
      </c>
      <c r="G1317" s="12" t="s">
        <v>11369</v>
      </c>
      <c r="H1317" s="12">
        <v>4</v>
      </c>
      <c r="I1317" s="12" t="s">
        <v>11370</v>
      </c>
      <c r="J1317" s="12" t="s">
        <v>20092</v>
      </c>
      <c r="K1317" s="12" t="s">
        <v>20093</v>
      </c>
      <c r="L1317" s="12" t="s">
        <v>11371</v>
      </c>
      <c r="M1317" s="12" t="s">
        <v>20094</v>
      </c>
      <c r="N1317" s="12" t="s">
        <v>20095</v>
      </c>
    </row>
    <row r="1318" spans="1:14">
      <c r="A1318" s="12" t="s">
        <v>5757</v>
      </c>
      <c r="B1318" s="8">
        <v>8437.6085770725695</v>
      </c>
      <c r="C1318" s="12">
        <v>18272.821644363899</v>
      </c>
      <c r="D1318" s="8">
        <v>-1.11479336139034</v>
      </c>
      <c r="E1318" s="12">
        <v>6.4626655373250302E-3</v>
      </c>
      <c r="F1318" s="8" t="s">
        <v>5758</v>
      </c>
      <c r="G1318" s="12" t="s">
        <v>17966</v>
      </c>
      <c r="H1318" s="12">
        <v>1</v>
      </c>
      <c r="I1318" s="13" t="str">
        <f>HYPERLINK("http://www.ncbi.nlm.nih.gov/gene/4116", "4116")</f>
        <v>4116</v>
      </c>
      <c r="J1318" s="13" t="str">
        <f>HYPERLINK("http://www.ncbi.nlm.nih.gov/nuccore/NM_002370", "NM_002370")</f>
        <v>NM_002370</v>
      </c>
      <c r="K1318" s="12" t="s">
        <v>5759</v>
      </c>
      <c r="L1318" s="13" t="str">
        <f>HYPERLINK("http://asia.ensembl.org/Homo_sapiens/Gene/Summary?g=ENSG00000162385", "ENSG00000162385")</f>
        <v>ENSG00000162385</v>
      </c>
      <c r="M1318" s="12" t="s">
        <v>17967</v>
      </c>
      <c r="N1318" s="12" t="s">
        <v>17968</v>
      </c>
    </row>
    <row r="1319" spans="1:14">
      <c r="A1319" s="12" t="s">
        <v>4281</v>
      </c>
      <c r="B1319" s="8">
        <v>562.37706953273596</v>
      </c>
      <c r="C1319" s="12">
        <v>1217.8316346806901</v>
      </c>
      <c r="D1319" s="8">
        <v>-1.1147050183209399</v>
      </c>
      <c r="E1319" s="12">
        <v>4.0872546943864401E-3</v>
      </c>
      <c r="F1319" s="8" t="s">
        <v>4282</v>
      </c>
      <c r="G1319" s="12" t="s">
        <v>4283</v>
      </c>
      <c r="H1319" s="12">
        <v>1</v>
      </c>
      <c r="I1319" s="13" t="str">
        <f>HYPERLINK("http://www.ncbi.nlm.nih.gov/gene/3270", "3270")</f>
        <v>3270</v>
      </c>
      <c r="J1319" s="13" t="str">
        <f>HYPERLINK("http://www.ncbi.nlm.nih.gov/nuccore/NM_002152", "NM_002152")</f>
        <v>NM_002152</v>
      </c>
      <c r="K1319" s="12" t="s">
        <v>4284</v>
      </c>
      <c r="L1319" s="13" t="str">
        <f>HYPERLINK("http://asia.ensembl.org/Homo_sapiens/Gene/Summary?g=ENSG00000130528", "ENSG00000130528")</f>
        <v>ENSG00000130528</v>
      </c>
      <c r="M1319" s="12" t="s">
        <v>17642</v>
      </c>
      <c r="N1319" s="12" t="s">
        <v>17643</v>
      </c>
    </row>
    <row r="1320" spans="1:14">
      <c r="A1320" s="12" t="s">
        <v>3598</v>
      </c>
      <c r="B1320" s="8">
        <v>4674.5302153631101</v>
      </c>
      <c r="C1320" s="12">
        <v>10121.6343691656</v>
      </c>
      <c r="D1320" s="8">
        <v>-1.11454897663459</v>
      </c>
      <c r="E1320" s="12">
        <v>2.1702998460501602E-3</v>
      </c>
      <c r="F1320" s="8" t="s">
        <v>3599</v>
      </c>
      <c r="G1320" s="12" t="s">
        <v>3600</v>
      </c>
      <c r="H1320" s="12">
        <v>1</v>
      </c>
      <c r="I1320" s="13" t="str">
        <f>HYPERLINK("http://www.ncbi.nlm.nih.gov/gene/54949", "54949")</f>
        <v>54949</v>
      </c>
      <c r="J1320" s="13" t="str">
        <f>HYPERLINK("http://www.ncbi.nlm.nih.gov/nuccore/NM_017841", "NM_017841")</f>
        <v>NM_017841</v>
      </c>
      <c r="K1320" s="12" t="s">
        <v>3601</v>
      </c>
      <c r="L1320" s="13" t="str">
        <f>HYPERLINK("http://asia.ensembl.org/Homo_sapiens/Gene/Summary?g=ENSG00000167985", "ENSG00000167985")</f>
        <v>ENSG00000167985</v>
      </c>
      <c r="M1320" s="12" t="s">
        <v>17350</v>
      </c>
      <c r="N1320" s="12" t="s">
        <v>17351</v>
      </c>
    </row>
    <row r="1321" spans="1:14">
      <c r="A1321" s="12" t="s">
        <v>11121</v>
      </c>
      <c r="B1321" s="8">
        <v>793.41498130178798</v>
      </c>
      <c r="C1321" s="12">
        <v>1717.5144705057301</v>
      </c>
      <c r="D1321" s="8">
        <v>-1.1141747102814901</v>
      </c>
      <c r="E1321" s="12">
        <v>4.1918372917113204E-3</v>
      </c>
      <c r="F1321" s="8" t="s">
        <v>3092</v>
      </c>
      <c r="G1321" s="12" t="s">
        <v>3093</v>
      </c>
      <c r="H1321" s="12">
        <v>1</v>
      </c>
      <c r="I1321" s="13" t="str">
        <f>HYPERLINK("http://www.ncbi.nlm.nih.gov/gene/3200", "3200")</f>
        <v>3200</v>
      </c>
      <c r="J1321" s="12" t="s">
        <v>19980</v>
      </c>
      <c r="K1321" s="12" t="s">
        <v>19981</v>
      </c>
      <c r="L1321" s="13" t="str">
        <f>HYPERLINK("http://asia.ensembl.org/Homo_sapiens/Gene/Summary?g=ENSG00000105997", "ENSG00000105997")</f>
        <v>ENSG00000105997</v>
      </c>
      <c r="M1321" s="12" t="s">
        <v>19982</v>
      </c>
      <c r="N1321" s="12" t="s">
        <v>19983</v>
      </c>
    </row>
    <row r="1322" spans="1:14">
      <c r="A1322" s="12" t="s">
        <v>2658</v>
      </c>
      <c r="B1322" s="8">
        <v>2234.44534229794</v>
      </c>
      <c r="C1322" s="12">
        <v>4836.7825457828903</v>
      </c>
      <c r="D1322" s="8">
        <v>-1.11413092311984</v>
      </c>
      <c r="E1322" s="12">
        <v>1.6231032633357799E-3</v>
      </c>
      <c r="F1322" s="8" t="s">
        <v>2659</v>
      </c>
      <c r="G1322" s="12" t="s">
        <v>17065</v>
      </c>
      <c r="H1322" s="12">
        <v>1</v>
      </c>
      <c r="I1322" s="13" t="str">
        <f>HYPERLINK("http://www.ncbi.nlm.nih.gov/gene/9219", "9219")</f>
        <v>9219</v>
      </c>
      <c r="J1322" s="13" t="str">
        <f>HYPERLINK("http://www.ncbi.nlm.nih.gov/nuccore/NM_004739", "NM_004739")</f>
        <v>NM_004739</v>
      </c>
      <c r="K1322" s="12" t="s">
        <v>2660</v>
      </c>
      <c r="L1322" s="13" t="str">
        <f>HYPERLINK("http://asia.ensembl.org/Homo_sapiens/Gene/Summary?g=ENSG00000149480", "ENSG00000149480")</f>
        <v>ENSG00000149480</v>
      </c>
      <c r="M1322" s="12" t="s">
        <v>17066</v>
      </c>
      <c r="N1322" s="12" t="s">
        <v>17067</v>
      </c>
    </row>
    <row r="1323" spans="1:14">
      <c r="A1323" s="12" t="s">
        <v>9068</v>
      </c>
      <c r="B1323" s="8">
        <v>111.958975911046</v>
      </c>
      <c r="C1323" s="12">
        <v>242.332303630034</v>
      </c>
      <c r="D1323" s="8">
        <v>-1.1140165374773301</v>
      </c>
      <c r="E1323" s="12">
        <v>1.0258921058438999E-2</v>
      </c>
      <c r="F1323" s="8" t="s">
        <v>9069</v>
      </c>
      <c r="G1323" s="12" t="s">
        <v>9070</v>
      </c>
      <c r="H1323" s="12">
        <v>1</v>
      </c>
      <c r="I1323" s="13" t="str">
        <f>HYPERLINK("http://www.ncbi.nlm.nih.gov/gene/388555", "388555")</f>
        <v>388555</v>
      </c>
      <c r="J1323" s="13" t="str">
        <f>HYPERLINK("http://www.ncbi.nlm.nih.gov/nuccore/NM_207393", "NM_207393")</f>
        <v>NM_207393</v>
      </c>
      <c r="K1323" s="12" t="s">
        <v>9071</v>
      </c>
      <c r="L1323" s="13" t="str">
        <f>HYPERLINK("http://asia.ensembl.org/Homo_sapiens/Gene/Summary?g=ENSG00000188624", "ENSG00000188624")</f>
        <v>ENSG00000188624</v>
      </c>
      <c r="M1323" s="12" t="s">
        <v>9072</v>
      </c>
      <c r="N1323" s="12" t="s">
        <v>9073</v>
      </c>
    </row>
    <row r="1324" spans="1:14">
      <c r="A1324" s="12" t="s">
        <v>10633</v>
      </c>
      <c r="B1324" s="8">
        <v>890.00613475633304</v>
      </c>
      <c r="C1324" s="12">
        <v>1926.0283028839399</v>
      </c>
      <c r="D1324" s="8">
        <v>-1.11374171803223</v>
      </c>
      <c r="E1324" s="12">
        <v>1.8327960645280798E-2</v>
      </c>
      <c r="F1324" s="8" t="s">
        <v>3852</v>
      </c>
      <c r="G1324" s="12" t="s">
        <v>3853</v>
      </c>
      <c r="H1324" s="12">
        <v>1</v>
      </c>
      <c r="I1324" s="13" t="str">
        <f>HYPERLINK("http://www.ncbi.nlm.nih.gov/gene/116372", "116372")</f>
        <v>116372</v>
      </c>
      <c r="J1324" s="12" t="s">
        <v>19810</v>
      </c>
      <c r="K1324" s="12" t="s">
        <v>19811</v>
      </c>
      <c r="L1324" s="13" t="str">
        <f>HYPERLINK("http://asia.ensembl.org/Homo_sapiens/Gene/Summary?g=ENSG00000150551", "ENSG00000150551")</f>
        <v>ENSG00000150551</v>
      </c>
      <c r="M1324" s="12" t="s">
        <v>19812</v>
      </c>
      <c r="N1324" s="12" t="s">
        <v>19813</v>
      </c>
    </row>
    <row r="1325" spans="1:14">
      <c r="A1325" s="12" t="s">
        <v>3081</v>
      </c>
      <c r="B1325" s="8">
        <v>12860.358929174001</v>
      </c>
      <c r="C1325" s="12">
        <v>27821.298401326101</v>
      </c>
      <c r="D1325" s="8">
        <v>-1.11325884260067</v>
      </c>
      <c r="E1325" s="12">
        <v>7.3079308203596403E-3</v>
      </c>
      <c r="F1325" s="8" t="s">
        <v>3082</v>
      </c>
      <c r="G1325" s="12" t="s">
        <v>17202</v>
      </c>
      <c r="H1325" s="12">
        <v>1</v>
      </c>
      <c r="I1325" s="13" t="str">
        <f>HYPERLINK("http://www.ncbi.nlm.nih.gov/gene/85236", "85236")</f>
        <v>85236</v>
      </c>
      <c r="J1325" s="13" t="str">
        <f>HYPERLINK("http://www.ncbi.nlm.nih.gov/nuccore/NM_080593", "NM_080593")</f>
        <v>NM_080593</v>
      </c>
      <c r="K1325" s="12" t="s">
        <v>3083</v>
      </c>
      <c r="L1325" s="13" t="str">
        <f>HYPERLINK("http://asia.ensembl.org/Homo_sapiens/Gene/Summary?g=ENSG00000197903", "ENSG00000197903")</f>
        <v>ENSG00000197903</v>
      </c>
      <c r="M1325" s="12" t="s">
        <v>3084</v>
      </c>
      <c r="N1325" s="12" t="s">
        <v>3085</v>
      </c>
    </row>
    <row r="1326" spans="1:14">
      <c r="A1326" s="12" t="s">
        <v>225</v>
      </c>
      <c r="B1326" s="8">
        <v>345.50668371581003</v>
      </c>
      <c r="C1326" s="12">
        <v>746.75083421216902</v>
      </c>
      <c r="D1326" s="8">
        <v>-1.1119133248484701</v>
      </c>
      <c r="E1326" s="12">
        <v>1.32639098304198E-2</v>
      </c>
      <c r="F1326" s="8" t="s">
        <v>226</v>
      </c>
      <c r="G1326" s="12" t="s">
        <v>227</v>
      </c>
      <c r="H1326" s="12">
        <v>1</v>
      </c>
      <c r="I1326" s="13" t="str">
        <f>HYPERLINK("http://www.ncbi.nlm.nih.gov/gene/26960", "26960")</f>
        <v>26960</v>
      </c>
      <c r="J1326" s="12" t="s">
        <v>16290</v>
      </c>
      <c r="K1326" s="12" t="s">
        <v>16291</v>
      </c>
      <c r="L1326" s="13" t="str">
        <f>HYPERLINK("http://asia.ensembl.org/Homo_sapiens/Gene/Summary?g=ENSG00000172915", "ENSG00000172915")</f>
        <v>ENSG00000172915</v>
      </c>
      <c r="M1326" s="12" t="s">
        <v>16292</v>
      </c>
      <c r="N1326" s="12" t="s">
        <v>16293</v>
      </c>
    </row>
    <row r="1327" spans="1:14">
      <c r="A1327" s="12" t="s">
        <v>7613</v>
      </c>
      <c r="B1327" s="8">
        <v>2837.2759827214099</v>
      </c>
      <c r="C1327" s="12">
        <v>6130.7058969630198</v>
      </c>
      <c r="D1327" s="8">
        <v>-1.11154670831352</v>
      </c>
      <c r="E1327" s="12">
        <v>1.55032985439822E-2</v>
      </c>
      <c r="F1327" s="8" t="s">
        <v>7614</v>
      </c>
      <c r="G1327" s="12" t="s">
        <v>7615</v>
      </c>
      <c r="H1327" s="12">
        <v>1</v>
      </c>
      <c r="I1327" s="13" t="str">
        <f>HYPERLINK("http://www.ncbi.nlm.nih.gov/gene/4255", "4255")</f>
        <v>4255</v>
      </c>
      <c r="J1327" s="13" t="str">
        <f>HYPERLINK("http://www.ncbi.nlm.nih.gov/nuccore/NM_002412", "NM_002412")</f>
        <v>NM_002412</v>
      </c>
      <c r="K1327" s="12" t="s">
        <v>7616</v>
      </c>
      <c r="L1327" s="13" t="str">
        <f>HYPERLINK("http://asia.ensembl.org/Homo_sapiens/Gene/Summary?g=ENSG00000170430", "ENSG00000170430")</f>
        <v>ENSG00000170430</v>
      </c>
      <c r="M1327" s="12" t="s">
        <v>18593</v>
      </c>
      <c r="N1327" s="12" t="s">
        <v>7617</v>
      </c>
    </row>
    <row r="1328" spans="1:14">
      <c r="A1328" s="12" t="s">
        <v>7509</v>
      </c>
      <c r="B1328" s="8">
        <v>113.534355515103</v>
      </c>
      <c r="C1328" s="12">
        <v>245.20248108144099</v>
      </c>
      <c r="D1328" s="8">
        <v>-1.1108446536696901</v>
      </c>
      <c r="E1328" s="12">
        <v>1.19170234543439E-2</v>
      </c>
      <c r="F1328" s="8" t="s">
        <v>7510</v>
      </c>
      <c r="G1328" s="12" t="s">
        <v>7511</v>
      </c>
      <c r="H1328" s="12">
        <v>1</v>
      </c>
      <c r="I1328" s="13" t="str">
        <f>HYPERLINK("http://www.ncbi.nlm.nih.gov/gene/170712", "170712")</f>
        <v>170712</v>
      </c>
      <c r="J1328" s="13" t="str">
        <f>HYPERLINK("http://www.ncbi.nlm.nih.gov/nuccore/NM_130902", "NM_130902")</f>
        <v>NM_130902</v>
      </c>
      <c r="K1328" s="12" t="s">
        <v>7512</v>
      </c>
      <c r="L1328" s="13" t="str">
        <f>HYPERLINK("http://asia.ensembl.org/Homo_sapiens/Gene/Summary?g=ENSG00000170516", "ENSG00000170516")</f>
        <v>ENSG00000170516</v>
      </c>
      <c r="M1328" s="12" t="s">
        <v>18555</v>
      </c>
      <c r="N1328" s="12" t="s">
        <v>18556</v>
      </c>
    </row>
    <row r="1329" spans="1:14">
      <c r="A1329" s="12" t="s">
        <v>8213</v>
      </c>
      <c r="B1329" s="8">
        <v>970.12256441736497</v>
      </c>
      <c r="C1329" s="12">
        <v>2094.9324354088499</v>
      </c>
      <c r="D1329" s="8">
        <v>-1.1106647829513201</v>
      </c>
      <c r="E1329" s="12">
        <v>1.7119658965061301E-2</v>
      </c>
      <c r="F1329" s="8" t="s">
        <v>8214</v>
      </c>
      <c r="G1329" s="12" t="s">
        <v>8215</v>
      </c>
      <c r="H1329" s="12">
        <v>4</v>
      </c>
      <c r="I1329" s="12" t="s">
        <v>8216</v>
      </c>
      <c r="J1329" s="12" t="s">
        <v>8217</v>
      </c>
      <c r="K1329" s="12" t="s">
        <v>8218</v>
      </c>
      <c r="L1329" s="13" t="str">
        <f>HYPERLINK("http://asia.ensembl.org/Homo_sapiens/Gene/Summary?g=ENSG00000011009", "ENSG00000011009")</f>
        <v>ENSG00000011009</v>
      </c>
      <c r="M1329" s="12" t="s">
        <v>18746</v>
      </c>
      <c r="N1329" s="12" t="s">
        <v>18747</v>
      </c>
    </row>
    <row r="1330" spans="1:14">
      <c r="A1330" s="12" t="s">
        <v>6334</v>
      </c>
      <c r="B1330" s="8">
        <v>12921.441683515501</v>
      </c>
      <c r="C1330" s="12">
        <v>27900.5367738477</v>
      </c>
      <c r="D1330" s="8">
        <v>-1.1105258333240899</v>
      </c>
      <c r="E1330" s="12">
        <v>9.7758769855062905E-3</v>
      </c>
      <c r="F1330" s="8" t="s">
        <v>6335</v>
      </c>
      <c r="G1330" s="12" t="s">
        <v>6336</v>
      </c>
      <c r="H1330" s="12">
        <v>1</v>
      </c>
      <c r="I1330" s="13" t="str">
        <f>HYPERLINK("http://www.ncbi.nlm.nih.gov/gene/100287932", "100287932")</f>
        <v>100287932</v>
      </c>
      <c r="J1330" s="12" t="s">
        <v>18127</v>
      </c>
      <c r="K1330" s="12" t="s">
        <v>18128</v>
      </c>
      <c r="L1330" s="13" t="str">
        <f>HYPERLINK("http://asia.ensembl.org/Homo_sapiens/Gene/Summary?g=ENSG00000265354", "ENSG00000265354")</f>
        <v>ENSG00000265354</v>
      </c>
      <c r="M1330" s="12" t="s">
        <v>6337</v>
      </c>
      <c r="N1330" s="12" t="s">
        <v>6338</v>
      </c>
    </row>
    <row r="1331" spans="1:14">
      <c r="A1331" s="12" t="s">
        <v>11011</v>
      </c>
      <c r="B1331" s="8">
        <v>139596.47341370801</v>
      </c>
      <c r="C1331" s="12">
        <v>301355.23900308303</v>
      </c>
      <c r="D1331" s="8">
        <v>-1.1102026503767499</v>
      </c>
      <c r="E1331" s="12">
        <v>9.2009754911679693E-3</v>
      </c>
      <c r="F1331" s="8" t="s">
        <v>11012</v>
      </c>
      <c r="G1331" s="12" t="s">
        <v>11013</v>
      </c>
      <c r="H1331" s="12">
        <v>1</v>
      </c>
      <c r="I1331" s="13" t="str">
        <f>HYPERLINK("http://www.ncbi.nlm.nih.gov/gene/51372", "51372")</f>
        <v>51372</v>
      </c>
      <c r="J1331" s="13" t="str">
        <f>HYPERLINK("http://www.ncbi.nlm.nih.gov/nuccore/NM_015933", "NM_015933")</f>
        <v>NM_015933</v>
      </c>
      <c r="K1331" s="12" t="s">
        <v>11014</v>
      </c>
      <c r="L1331" s="13" t="str">
        <f>HYPERLINK("http://asia.ensembl.org/Homo_sapiens/Gene/Summary?g=ENSG00000232112", "ENSG00000232112")</f>
        <v>ENSG00000232112</v>
      </c>
      <c r="M1331" s="12" t="s">
        <v>19925</v>
      </c>
      <c r="N1331" s="12" t="s">
        <v>9801</v>
      </c>
    </row>
    <row r="1332" spans="1:14">
      <c r="A1332" s="12" t="s">
        <v>4981</v>
      </c>
      <c r="B1332" s="8">
        <v>349.91758591590201</v>
      </c>
      <c r="C1332" s="12">
        <v>755.15729980885806</v>
      </c>
      <c r="D1332" s="8">
        <v>-1.1097620177868599</v>
      </c>
      <c r="E1332" s="12">
        <v>1.1192298125257501E-4</v>
      </c>
      <c r="F1332" s="8" t="s">
        <v>4982</v>
      </c>
      <c r="G1332" s="12" t="s">
        <v>4983</v>
      </c>
      <c r="H1332" s="12">
        <v>1</v>
      </c>
      <c r="I1332" s="13" t="str">
        <f>HYPERLINK("http://www.ncbi.nlm.nih.gov/gene/26511", "26511")</f>
        <v>26511</v>
      </c>
      <c r="J1332" s="13" t="str">
        <f>HYPERLINK("http://www.ncbi.nlm.nih.gov/nuccore/NM_012110", "NM_012110")</f>
        <v>NM_012110</v>
      </c>
      <c r="K1332" s="12" t="s">
        <v>4984</v>
      </c>
      <c r="L1332" s="13" t="str">
        <f>HYPERLINK("http://asia.ensembl.org/Homo_sapiens/Gene/Summary?g=ENSG00000109220", "ENSG00000109220")</f>
        <v>ENSG00000109220</v>
      </c>
      <c r="M1332" s="12" t="s">
        <v>17772</v>
      </c>
      <c r="N1332" s="12" t="s">
        <v>17773</v>
      </c>
    </row>
    <row r="1333" spans="1:14">
      <c r="A1333" s="12" t="s">
        <v>7945</v>
      </c>
      <c r="B1333" s="8">
        <v>893.68863120630704</v>
      </c>
      <c r="C1333" s="12">
        <v>1928.6666809809999</v>
      </c>
      <c r="D1333" s="8">
        <v>-1.1097596565310801</v>
      </c>
      <c r="E1333" s="12">
        <v>1.7793054888822499E-3</v>
      </c>
      <c r="F1333" s="8" t="s">
        <v>4128</v>
      </c>
      <c r="G1333" s="12" t="s">
        <v>4129</v>
      </c>
      <c r="H1333" s="12">
        <v>1</v>
      </c>
      <c r="I1333" s="13" t="str">
        <f>HYPERLINK("http://www.ncbi.nlm.nih.gov/gene/118472", "118472")</f>
        <v>118472</v>
      </c>
      <c r="J1333" s="13" t="str">
        <f>HYPERLINK("http://www.ncbi.nlm.nih.gov/nuccore/NM_145806", "NM_145806")</f>
        <v>NM_145806</v>
      </c>
      <c r="K1333" s="12" t="s">
        <v>4130</v>
      </c>
      <c r="L1333" s="13" t="str">
        <f>HYPERLINK("http://asia.ensembl.org/Homo_sapiens/Gene/Summary?g=ENSG00000198546", "ENSG00000198546")</f>
        <v>ENSG00000198546</v>
      </c>
      <c r="M1333" s="12" t="s">
        <v>18681</v>
      </c>
      <c r="N1333" s="12" t="s">
        <v>18682</v>
      </c>
    </row>
    <row r="1334" spans="1:14">
      <c r="A1334" s="12" t="s">
        <v>1967</v>
      </c>
      <c r="B1334" s="8">
        <v>451.458644306</v>
      </c>
      <c r="C1334" s="12">
        <v>974.04509473904204</v>
      </c>
      <c r="D1334" s="8">
        <v>-1.1093947291385799</v>
      </c>
      <c r="E1334" s="12">
        <v>4.3917280549920799E-2</v>
      </c>
      <c r="F1334" s="8" t="s">
        <v>1968</v>
      </c>
      <c r="G1334" s="12" t="s">
        <v>1969</v>
      </c>
      <c r="H1334" s="12">
        <v>1</v>
      </c>
      <c r="I1334" s="13" t="str">
        <f>HYPERLINK("http://www.ncbi.nlm.nih.gov/gene/55615", "55615")</f>
        <v>55615</v>
      </c>
      <c r="J1334" s="12" t="s">
        <v>16861</v>
      </c>
      <c r="K1334" s="12" t="s">
        <v>16862</v>
      </c>
      <c r="L1334" s="13" t="str">
        <f>HYPERLINK("http://asia.ensembl.org/Homo_sapiens/Gene/Summary?g=ENSG00000186654", "ENSG00000186654")</f>
        <v>ENSG00000186654</v>
      </c>
      <c r="M1334" s="12" t="s">
        <v>16863</v>
      </c>
      <c r="N1334" s="12" t="s">
        <v>16864</v>
      </c>
    </row>
    <row r="1335" spans="1:14">
      <c r="A1335" s="12" t="s">
        <v>9494</v>
      </c>
      <c r="B1335" s="8">
        <v>306.239653094441</v>
      </c>
      <c r="C1335" s="12">
        <v>660.65459146543003</v>
      </c>
      <c r="D1335" s="8">
        <v>-1.1092350872177501</v>
      </c>
      <c r="E1335" s="12">
        <v>1.09479158834391E-3</v>
      </c>
      <c r="F1335" s="8" t="s">
        <v>7420</v>
      </c>
      <c r="G1335" s="12" t="s">
        <v>7421</v>
      </c>
      <c r="H1335" s="12">
        <v>1</v>
      </c>
      <c r="I1335" s="13" t="str">
        <f>HYPERLINK("http://www.ncbi.nlm.nih.gov/gene/27124", "27124")</f>
        <v>27124</v>
      </c>
      <c r="J1335" s="13" t="str">
        <f>HYPERLINK("http://www.ncbi.nlm.nih.gov/nuccore/NM_001002837", "NM_001002837")</f>
        <v>NM_001002837</v>
      </c>
      <c r="K1335" s="12" t="s">
        <v>7422</v>
      </c>
      <c r="L1335" s="13" t="str">
        <f>HYPERLINK("http://asia.ensembl.org/Homo_sapiens/Gene/Summary?g=ENSG00000185133", "ENSG00000185133")</f>
        <v>ENSG00000185133</v>
      </c>
      <c r="M1335" s="12" t="s">
        <v>19170</v>
      </c>
      <c r="N1335" s="12" t="s">
        <v>19171</v>
      </c>
    </row>
    <row r="1336" spans="1:14">
      <c r="A1336" s="12" t="s">
        <v>10587</v>
      </c>
      <c r="B1336" s="8">
        <v>428.49982572995702</v>
      </c>
      <c r="C1336" s="12">
        <v>924.18894969696703</v>
      </c>
      <c r="D1336" s="8">
        <v>-1.1088932220563801</v>
      </c>
      <c r="E1336" s="12">
        <v>6.5452589017761E-3</v>
      </c>
      <c r="F1336" s="8" t="s">
        <v>4843</v>
      </c>
      <c r="G1336" s="12" t="s">
        <v>104</v>
      </c>
      <c r="H1336" s="12">
        <v>1</v>
      </c>
      <c r="I1336" s="13" t="str">
        <f>HYPERLINK("http://www.ncbi.nlm.nih.gov/gene/171568", "171568")</f>
        <v>171568</v>
      </c>
      <c r="J1336" s="12" t="s">
        <v>19791</v>
      </c>
      <c r="K1336" s="12" t="s">
        <v>19792</v>
      </c>
      <c r="L1336" s="13" t="str">
        <f>HYPERLINK("http://asia.ensembl.org/Homo_sapiens/Gene/Summary?g=ENSG00000100413", "ENSG00000100413")</f>
        <v>ENSG00000100413</v>
      </c>
      <c r="M1336" s="12" t="s">
        <v>19793</v>
      </c>
      <c r="N1336" s="12" t="s">
        <v>19794</v>
      </c>
    </row>
    <row r="1337" spans="1:14">
      <c r="A1337" s="12" t="s">
        <v>11335</v>
      </c>
      <c r="B1337" s="8">
        <v>60.695514096939</v>
      </c>
      <c r="C1337" s="12">
        <v>130.89078233611701</v>
      </c>
      <c r="D1337" s="8">
        <v>-1.10870170420641</v>
      </c>
      <c r="E1337" s="12">
        <v>3.44189418440443E-4</v>
      </c>
      <c r="F1337" s="8" t="s">
        <v>8259</v>
      </c>
      <c r="G1337" s="12" t="s">
        <v>8260</v>
      </c>
      <c r="H1337" s="12">
        <v>4</v>
      </c>
      <c r="I1337" s="12" t="s">
        <v>8261</v>
      </c>
      <c r="J1337" s="12" t="s">
        <v>8262</v>
      </c>
      <c r="K1337" s="12" t="s">
        <v>8263</v>
      </c>
      <c r="L1337" s="12" t="s">
        <v>8264</v>
      </c>
      <c r="M1337" s="12" t="s">
        <v>18754</v>
      </c>
      <c r="N1337" s="12" t="s">
        <v>18755</v>
      </c>
    </row>
    <row r="1338" spans="1:14">
      <c r="A1338" s="12" t="s">
        <v>5222</v>
      </c>
      <c r="B1338" s="8">
        <v>93636.551092695401</v>
      </c>
      <c r="C1338" s="12">
        <v>201891.255128483</v>
      </c>
      <c r="D1338" s="8">
        <v>-1.1084347201568201</v>
      </c>
      <c r="E1338" s="12">
        <v>2.1133760855069198E-3</v>
      </c>
      <c r="F1338" s="8" t="s">
        <v>5223</v>
      </c>
      <c r="G1338" s="12" t="s">
        <v>15570</v>
      </c>
      <c r="H1338" s="12">
        <v>1</v>
      </c>
      <c r="I1338" s="13" t="str">
        <f>HYPERLINK("http://www.ncbi.nlm.nih.gov/gene/5689", "5689")</f>
        <v>5689</v>
      </c>
      <c r="J1338" s="13" t="str">
        <f>HYPERLINK("http://www.ncbi.nlm.nih.gov/nuccore/NM_002793", "NM_002793")</f>
        <v>NM_002793</v>
      </c>
      <c r="K1338" s="12" t="s">
        <v>5224</v>
      </c>
      <c r="L1338" s="13" t="str">
        <f>HYPERLINK("http://asia.ensembl.org/Homo_sapiens/Gene/Summary?g=ENSG00000008018", "ENSG00000008018")</f>
        <v>ENSG00000008018</v>
      </c>
      <c r="M1338" s="12" t="s">
        <v>17830</v>
      </c>
      <c r="N1338" s="12" t="s">
        <v>5225</v>
      </c>
    </row>
    <row r="1339" spans="1:14">
      <c r="A1339" s="12" t="s">
        <v>4234</v>
      </c>
      <c r="B1339" s="8">
        <v>3667.9238459635399</v>
      </c>
      <c r="C1339" s="12">
        <v>7905.7833957864104</v>
      </c>
      <c r="D1339" s="8">
        <v>-1.10794474268272</v>
      </c>
      <c r="E1339" s="12">
        <v>9.3533204877069807E-3</v>
      </c>
      <c r="F1339" s="8" t="s">
        <v>4235</v>
      </c>
      <c r="G1339" s="12" t="s">
        <v>4236</v>
      </c>
      <c r="H1339" s="12">
        <v>1</v>
      </c>
      <c r="I1339" s="13" t="str">
        <f>HYPERLINK("http://www.ncbi.nlm.nih.gov/gene/29100", "29100")</f>
        <v>29100</v>
      </c>
      <c r="J1339" s="13" t="str">
        <f>HYPERLINK("http://www.ncbi.nlm.nih.gov/nuccore/NM_014187", "NM_014187")</f>
        <v>NM_014187</v>
      </c>
      <c r="K1339" s="12" t="s">
        <v>4237</v>
      </c>
      <c r="L1339" s="13" t="str">
        <f>HYPERLINK("http://asia.ensembl.org/Homo_sapiens/Gene/Summary?g=ENSG00000168701", "ENSG00000168701")</f>
        <v>ENSG00000168701</v>
      </c>
      <c r="M1339" s="12" t="s">
        <v>17621</v>
      </c>
      <c r="N1339" s="12" t="s">
        <v>17622</v>
      </c>
    </row>
    <row r="1340" spans="1:14">
      <c r="A1340" s="12" t="s">
        <v>10287</v>
      </c>
      <c r="B1340" s="8">
        <v>282.872406613294</v>
      </c>
      <c r="C1340" s="12">
        <v>609.67488153303304</v>
      </c>
      <c r="D1340" s="8">
        <v>-1.10788865564901</v>
      </c>
      <c r="E1340" s="12">
        <v>3.9404032749050201E-3</v>
      </c>
      <c r="F1340" s="8" t="s">
        <v>5666</v>
      </c>
      <c r="G1340" s="12" t="s">
        <v>5667</v>
      </c>
      <c r="H1340" s="12">
        <v>1</v>
      </c>
      <c r="I1340" s="13" t="str">
        <f>HYPERLINK("http://www.ncbi.nlm.nih.gov/gene/9145", "9145")</f>
        <v>9145</v>
      </c>
      <c r="J1340" s="12" t="s">
        <v>19652</v>
      </c>
      <c r="K1340" s="12" t="s">
        <v>19653</v>
      </c>
      <c r="L1340" s="13" t="str">
        <f>HYPERLINK("http://asia.ensembl.org/Homo_sapiens/Gene/Summary?g=ENSG00000100321", "ENSG00000100321")</f>
        <v>ENSG00000100321</v>
      </c>
      <c r="M1340" s="12" t="s">
        <v>19654</v>
      </c>
      <c r="N1340" s="12" t="s">
        <v>19655</v>
      </c>
    </row>
    <row r="1341" spans="1:14">
      <c r="A1341" s="12" t="s">
        <v>1943</v>
      </c>
      <c r="B1341" s="8">
        <v>66352.2258884451</v>
      </c>
      <c r="C1341" s="12">
        <v>143004.961703993</v>
      </c>
      <c r="D1341" s="8">
        <v>-1.1078484346927699</v>
      </c>
      <c r="E1341" s="12">
        <v>7.6257976496326698E-3</v>
      </c>
      <c r="F1341" s="8" t="s">
        <v>1944</v>
      </c>
      <c r="G1341" s="12" t="s">
        <v>1945</v>
      </c>
      <c r="H1341" s="12">
        <v>1</v>
      </c>
      <c r="I1341" s="13" t="str">
        <f>HYPERLINK("http://www.ncbi.nlm.nih.gov/gene/2091", "2091")</f>
        <v>2091</v>
      </c>
      <c r="J1341" s="13" t="str">
        <f>HYPERLINK("http://www.ncbi.nlm.nih.gov/nuccore/NM_001436", "NM_001436")</f>
        <v>NM_001436</v>
      </c>
      <c r="K1341" s="12" t="s">
        <v>1946</v>
      </c>
      <c r="L1341" s="13" t="str">
        <f>HYPERLINK("http://asia.ensembl.org/Homo_sapiens/Gene/Summary?g=ENSG00000280548", "ENSG00000280548")</f>
        <v>ENSG00000280548</v>
      </c>
      <c r="M1341" s="12" t="s">
        <v>16846</v>
      </c>
      <c r="N1341" s="12" t="s">
        <v>16847</v>
      </c>
    </row>
    <row r="1342" spans="1:14">
      <c r="A1342" s="12" t="s">
        <v>11376</v>
      </c>
      <c r="B1342" s="8">
        <v>1781.4549618383401</v>
      </c>
      <c r="C1342" s="12">
        <v>3838.4727643921801</v>
      </c>
      <c r="D1342" s="8">
        <v>-1.1074764014076599</v>
      </c>
      <c r="E1342" s="12">
        <v>4.83931035523505E-3</v>
      </c>
      <c r="F1342" s="8" t="s">
        <v>11377</v>
      </c>
      <c r="G1342" s="12" t="s">
        <v>11378</v>
      </c>
      <c r="H1342" s="12">
        <v>4</v>
      </c>
      <c r="I1342" s="12" t="s">
        <v>11379</v>
      </c>
      <c r="J1342" s="12" t="s">
        <v>11380</v>
      </c>
      <c r="K1342" s="12" t="s">
        <v>11381</v>
      </c>
      <c r="L1342" s="12" t="s">
        <v>11382</v>
      </c>
      <c r="M1342" s="12" t="s">
        <v>20098</v>
      </c>
      <c r="N1342" s="12" t="s">
        <v>11383</v>
      </c>
    </row>
    <row r="1343" spans="1:14">
      <c r="A1343" s="12" t="s">
        <v>9850</v>
      </c>
      <c r="B1343" s="8">
        <v>4522.4517241164303</v>
      </c>
      <c r="C1343" s="12">
        <v>9742.2365128313104</v>
      </c>
      <c r="D1343" s="8">
        <v>-1.10714790542306</v>
      </c>
      <c r="E1343" s="12">
        <v>1.59439969645666E-3</v>
      </c>
      <c r="F1343" s="8" t="s">
        <v>2771</v>
      </c>
      <c r="G1343" s="12" t="s">
        <v>2772</v>
      </c>
      <c r="H1343" s="12">
        <v>1</v>
      </c>
      <c r="I1343" s="13" t="str">
        <f>HYPERLINK("http://www.ncbi.nlm.nih.gov/gene/83451", "83451")</f>
        <v>83451</v>
      </c>
      <c r="J1343" s="12" t="s">
        <v>19366</v>
      </c>
      <c r="K1343" s="12" t="s">
        <v>19367</v>
      </c>
      <c r="L1343" s="13" t="str">
        <f>HYPERLINK("http://asia.ensembl.org/Homo_sapiens/Gene/Summary?g=ENSG00000106077", "ENSG00000106077")</f>
        <v>ENSG00000106077</v>
      </c>
      <c r="M1343" s="12" t="s">
        <v>17108</v>
      </c>
      <c r="N1343" s="12" t="s">
        <v>17109</v>
      </c>
    </row>
    <row r="1344" spans="1:14">
      <c r="A1344" s="12" t="s">
        <v>9917</v>
      </c>
      <c r="B1344" s="8">
        <v>15585.4161753317</v>
      </c>
      <c r="C1344" s="12">
        <v>33566.724665950802</v>
      </c>
      <c r="D1344" s="8">
        <v>-1.1068350907426601</v>
      </c>
      <c r="E1344" s="12">
        <v>1.18319823335582E-2</v>
      </c>
      <c r="F1344" s="8" t="s">
        <v>2590</v>
      </c>
      <c r="G1344" s="12" t="s">
        <v>17038</v>
      </c>
      <c r="H1344" s="12">
        <v>1</v>
      </c>
      <c r="I1344" s="13" t="str">
        <f>HYPERLINK("http://www.ncbi.nlm.nih.gov/gene/56616", "56616")</f>
        <v>56616</v>
      </c>
      <c r="J1344" s="13" t="str">
        <f>HYPERLINK("http://www.ncbi.nlm.nih.gov/nuccore/NM_019887", "NM_019887")</f>
        <v>NM_019887</v>
      </c>
      <c r="K1344" s="12" t="s">
        <v>2591</v>
      </c>
      <c r="L1344" s="13" t="str">
        <f>HYPERLINK("http://asia.ensembl.org/Homo_sapiens/Gene/Summary?g=ENSG00000184047", "ENSG00000184047")</f>
        <v>ENSG00000184047</v>
      </c>
      <c r="M1344" s="12" t="s">
        <v>17039</v>
      </c>
      <c r="N1344" s="12" t="s">
        <v>17040</v>
      </c>
    </row>
    <row r="1345" spans="1:14">
      <c r="A1345" s="12" t="s">
        <v>9513</v>
      </c>
      <c r="B1345" s="8">
        <v>11354.0300268633</v>
      </c>
      <c r="C1345" s="12">
        <v>24444.058503853099</v>
      </c>
      <c r="D1345" s="8">
        <v>-1.10627937697399</v>
      </c>
      <c r="E1345" s="12">
        <v>8.2717900608334004E-4</v>
      </c>
      <c r="F1345" s="8" t="s">
        <v>9514</v>
      </c>
      <c r="G1345" s="12" t="s">
        <v>286</v>
      </c>
      <c r="H1345" s="12">
        <v>1</v>
      </c>
      <c r="I1345" s="13" t="str">
        <f>HYPERLINK("http://www.ncbi.nlm.nih.gov/gene/374291", "374291")</f>
        <v>374291</v>
      </c>
      <c r="J1345" s="13" t="str">
        <f>HYPERLINK("http://www.ncbi.nlm.nih.gov/nuccore/NM_024407", "NM_024407")</f>
        <v>NM_024407</v>
      </c>
      <c r="K1345" s="12" t="s">
        <v>9515</v>
      </c>
      <c r="L1345" s="13" t="str">
        <f>HYPERLINK("http://asia.ensembl.org/Homo_sapiens/Gene/Summary?g=ENSG00000115286", "ENSG00000115286")</f>
        <v>ENSG00000115286</v>
      </c>
      <c r="M1345" s="12" t="s">
        <v>19178</v>
      </c>
      <c r="N1345" s="12" t="s">
        <v>19179</v>
      </c>
    </row>
    <row r="1346" spans="1:14">
      <c r="A1346" s="12" t="s">
        <v>8565</v>
      </c>
      <c r="B1346" s="8">
        <v>1608.66521001294</v>
      </c>
      <c r="C1346" s="12">
        <v>3462.3207408938802</v>
      </c>
      <c r="D1346" s="8">
        <v>-1.1058752701561601</v>
      </c>
      <c r="E1346" s="12">
        <v>1.4356144047730101E-2</v>
      </c>
      <c r="F1346" s="8" t="s">
        <v>6496</v>
      </c>
      <c r="G1346" s="12" t="s">
        <v>6497</v>
      </c>
      <c r="H1346" s="12">
        <v>1</v>
      </c>
      <c r="I1346" s="13" t="str">
        <f>HYPERLINK("http://www.ncbi.nlm.nih.gov/gene/80306", "80306")</f>
        <v>80306</v>
      </c>
      <c r="J1346" s="13" t="str">
        <f>HYPERLINK("http://www.ncbi.nlm.nih.gov/nuccore/NM_025205", "NM_025205")</f>
        <v>NM_025205</v>
      </c>
      <c r="K1346" s="12" t="s">
        <v>6498</v>
      </c>
      <c r="L1346" s="13" t="str">
        <f>HYPERLINK("http://asia.ensembl.org/Homo_sapiens/Gene/Summary?g=ENSG00000118579", "ENSG00000118579")</f>
        <v>ENSG00000118579</v>
      </c>
      <c r="M1346" s="12" t="s">
        <v>18188</v>
      </c>
      <c r="N1346" s="12" t="s">
        <v>18189</v>
      </c>
    </row>
    <row r="1347" spans="1:14">
      <c r="A1347" s="12" t="s">
        <v>1435</v>
      </c>
      <c r="B1347" s="8">
        <v>59.793372223975901</v>
      </c>
      <c r="C1347" s="12">
        <v>128.685265605984</v>
      </c>
      <c r="D1347" s="8">
        <v>-1.1057893918483599</v>
      </c>
      <c r="E1347" s="12">
        <v>3.1528208726262698E-2</v>
      </c>
      <c r="F1347" s="8" t="s">
        <v>1436</v>
      </c>
      <c r="G1347" s="12" t="s">
        <v>1437</v>
      </c>
      <c r="H1347" s="12">
        <v>1</v>
      </c>
      <c r="I1347" s="13" t="str">
        <f>HYPERLINK("http://www.ncbi.nlm.nih.gov/gene/978", "978")</f>
        <v>978</v>
      </c>
      <c r="J1347" s="13" t="str">
        <f>HYPERLINK("http://www.ncbi.nlm.nih.gov/nuccore/NM_001785", "NM_001785")</f>
        <v>NM_001785</v>
      </c>
      <c r="K1347" s="12" t="s">
        <v>1438</v>
      </c>
      <c r="L1347" s="13" t="str">
        <f>HYPERLINK("http://asia.ensembl.org/Homo_sapiens/Gene/Summary?g=ENSG00000158825", "ENSG00000158825")</f>
        <v>ENSG00000158825</v>
      </c>
      <c r="M1347" s="12" t="s">
        <v>16624</v>
      </c>
      <c r="N1347" s="12" t="s">
        <v>1439</v>
      </c>
    </row>
    <row r="1348" spans="1:14">
      <c r="A1348" s="12" t="s">
        <v>9884</v>
      </c>
      <c r="B1348" s="8">
        <v>302.74793430671201</v>
      </c>
      <c r="C1348" s="12">
        <v>651.50847644156102</v>
      </c>
      <c r="D1348" s="8">
        <v>-1.10566683284375</v>
      </c>
      <c r="E1348" s="12">
        <v>2.3445565622253802E-3</v>
      </c>
      <c r="F1348" s="8" t="s">
        <v>8928</v>
      </c>
      <c r="G1348" s="12" t="s">
        <v>8929</v>
      </c>
      <c r="H1348" s="12">
        <v>1</v>
      </c>
      <c r="I1348" s="13" t="str">
        <f>HYPERLINK("http://www.ncbi.nlm.nih.gov/gene/84542", "84542")</f>
        <v>84542</v>
      </c>
      <c r="J1348" s="13" t="str">
        <f>HYPERLINK("http://www.ncbi.nlm.nih.gov/nuccore/NM_032506", "NM_032506")</f>
        <v>NM_032506</v>
      </c>
      <c r="K1348" s="12" t="s">
        <v>9885</v>
      </c>
      <c r="L1348" s="13" t="str">
        <f>HYPERLINK("http://asia.ensembl.org/Homo_sapiens/Gene/Summary?g=ENSG00000162929", "ENSG00000162929")</f>
        <v>ENSG00000162929</v>
      </c>
      <c r="M1348" s="12" t="s">
        <v>15494</v>
      </c>
      <c r="N1348" s="12" t="s">
        <v>15495</v>
      </c>
    </row>
    <row r="1349" spans="1:14">
      <c r="A1349" s="12" t="s">
        <v>9030</v>
      </c>
      <c r="B1349" s="8">
        <v>153.65082761944799</v>
      </c>
      <c r="C1349" s="12">
        <v>330.59843323123198</v>
      </c>
      <c r="D1349" s="8">
        <v>-1.10542434960665</v>
      </c>
      <c r="E1349" s="12">
        <v>4.9278025160545601E-2</v>
      </c>
      <c r="F1349" s="8" t="s">
        <v>6295</v>
      </c>
      <c r="G1349" s="12" t="s">
        <v>6296</v>
      </c>
      <c r="H1349" s="12">
        <v>1</v>
      </c>
      <c r="I1349" s="13" t="str">
        <f>HYPERLINK("http://www.ncbi.nlm.nih.gov/gene/5361", "5361")</f>
        <v>5361</v>
      </c>
      <c r="J1349" s="13" t="str">
        <f>HYPERLINK("http://www.ncbi.nlm.nih.gov/nuccore/NM_032242", "NM_032242")</f>
        <v>NM_032242</v>
      </c>
      <c r="K1349" s="12" t="s">
        <v>6297</v>
      </c>
      <c r="L1349" s="13" t="str">
        <f>HYPERLINK("http://asia.ensembl.org/Homo_sapiens/Gene/Summary?g=ENSG00000114554", "ENSG00000114554")</f>
        <v>ENSG00000114554</v>
      </c>
      <c r="M1349" s="12" t="s">
        <v>19042</v>
      </c>
      <c r="N1349" s="12" t="s">
        <v>6298</v>
      </c>
    </row>
    <row r="1350" spans="1:14">
      <c r="A1350" s="12" t="s">
        <v>1489</v>
      </c>
      <c r="B1350" s="8">
        <v>7387.6973807733202</v>
      </c>
      <c r="C1350" s="12">
        <v>15893.672254139099</v>
      </c>
      <c r="D1350" s="8">
        <v>-1.10525582369532</v>
      </c>
      <c r="E1350" s="12">
        <v>8.7485267335292395E-4</v>
      </c>
      <c r="F1350" s="8" t="s">
        <v>1490</v>
      </c>
      <c r="G1350" s="12" t="s">
        <v>15570</v>
      </c>
      <c r="H1350" s="12">
        <v>1</v>
      </c>
      <c r="I1350" s="13" t="str">
        <f>HYPERLINK("http://www.ncbi.nlm.nih.gov/gene/5720", "5720")</f>
        <v>5720</v>
      </c>
      <c r="J1350" s="12" t="s">
        <v>16647</v>
      </c>
      <c r="K1350" s="12" t="s">
        <v>16648</v>
      </c>
      <c r="L1350" s="13" t="str">
        <f>HYPERLINK("http://asia.ensembl.org/Homo_sapiens/Gene/Summary?g=ENSG00000092010", "ENSG00000092010")</f>
        <v>ENSG00000092010</v>
      </c>
      <c r="M1350" s="12" t="s">
        <v>16649</v>
      </c>
      <c r="N1350" s="12" t="s">
        <v>16650</v>
      </c>
    </row>
    <row r="1351" spans="1:14">
      <c r="A1351" s="12" t="s">
        <v>10070</v>
      </c>
      <c r="B1351" s="8">
        <v>115.94240681025001</v>
      </c>
      <c r="C1351" s="12">
        <v>249.38773812379901</v>
      </c>
      <c r="D1351" s="8">
        <v>-1.10498219313065</v>
      </c>
      <c r="E1351" s="12">
        <v>2.8928171202727299E-2</v>
      </c>
      <c r="F1351" s="8" t="s">
        <v>4897</v>
      </c>
      <c r="G1351" s="12" t="s">
        <v>4898</v>
      </c>
      <c r="H1351" s="12">
        <v>1</v>
      </c>
      <c r="I1351" s="13" t="str">
        <f>HYPERLINK("http://www.ncbi.nlm.nih.gov/gene/375449", "375449")</f>
        <v>375449</v>
      </c>
      <c r="J1351" s="13" t="str">
        <f>HYPERLINK("http://www.ncbi.nlm.nih.gov/nuccore/NM_198828", "NM_198828")</f>
        <v>NM_198828</v>
      </c>
      <c r="K1351" s="12" t="s">
        <v>10071</v>
      </c>
      <c r="L1351" s="13" t="str">
        <f>HYPERLINK("http://asia.ensembl.org/Homo_sapiens/Gene/Summary?g=ENSG00000069020", "ENSG00000069020")</f>
        <v>ENSG00000069020</v>
      </c>
      <c r="M1351" s="12" t="s">
        <v>19526</v>
      </c>
      <c r="N1351" s="12" t="s">
        <v>19527</v>
      </c>
    </row>
    <row r="1352" spans="1:14">
      <c r="A1352" s="12" t="s">
        <v>5898</v>
      </c>
      <c r="B1352" s="8">
        <v>494.59985155983998</v>
      </c>
      <c r="C1352" s="12">
        <v>1063.81549194219</v>
      </c>
      <c r="D1352" s="8">
        <v>-1.1049142397885401</v>
      </c>
      <c r="E1352" s="12">
        <v>1.56214208519425E-2</v>
      </c>
      <c r="F1352" s="8" t="s">
        <v>5899</v>
      </c>
      <c r="G1352" s="12" t="s">
        <v>5900</v>
      </c>
      <c r="H1352" s="12">
        <v>1</v>
      </c>
      <c r="I1352" s="13" t="str">
        <f>HYPERLINK("http://www.ncbi.nlm.nih.gov/gene/8153", "8153")</f>
        <v>8153</v>
      </c>
      <c r="J1352" s="13" t="str">
        <f>HYPERLINK("http://www.ncbi.nlm.nih.gov/nuccore/NM_005440", "NM_005440")</f>
        <v>NM_005440</v>
      </c>
      <c r="K1352" s="12" t="s">
        <v>5901</v>
      </c>
      <c r="L1352" s="13" t="str">
        <f>HYPERLINK("http://asia.ensembl.org/Homo_sapiens/Gene/Summary?g=ENSG00000108830", "ENSG00000108830")</f>
        <v>ENSG00000108830</v>
      </c>
      <c r="M1352" s="12" t="s">
        <v>18007</v>
      </c>
      <c r="N1352" s="12" t="s">
        <v>5902</v>
      </c>
    </row>
    <row r="1353" spans="1:14">
      <c r="A1353" s="12" t="s">
        <v>9261</v>
      </c>
      <c r="B1353" s="8">
        <v>673.21422051919603</v>
      </c>
      <c r="C1353" s="12">
        <v>1447.8607927806599</v>
      </c>
      <c r="D1353" s="8">
        <v>-1.1047853419293601</v>
      </c>
      <c r="E1353" s="12">
        <v>4.5609855489703699E-2</v>
      </c>
      <c r="F1353" s="8" t="s">
        <v>9262</v>
      </c>
      <c r="G1353" s="12" t="s">
        <v>19113</v>
      </c>
      <c r="H1353" s="12">
        <v>1</v>
      </c>
      <c r="I1353" s="13" t="str">
        <f>HYPERLINK("http://www.ncbi.nlm.nih.gov/gene/26533", "26533")</f>
        <v>26533</v>
      </c>
      <c r="J1353" s="13" t="str">
        <f>HYPERLINK("http://www.ncbi.nlm.nih.gov/nuccore/NM_001005465", "NM_001005465")</f>
        <v>NM_001005465</v>
      </c>
      <c r="K1353" s="12" t="s">
        <v>9263</v>
      </c>
      <c r="L1353" s="13" t="str">
        <f>HYPERLINK("http://asia.ensembl.org/Homo_sapiens/Gene/Summary?g=ENSG00000169208", "ENSG00000169208")</f>
        <v>ENSG00000169208</v>
      </c>
      <c r="M1353" s="12" t="s">
        <v>9264</v>
      </c>
      <c r="N1353" s="12" t="s">
        <v>9265</v>
      </c>
    </row>
    <row r="1354" spans="1:14">
      <c r="A1354" s="12" t="s">
        <v>6409</v>
      </c>
      <c r="B1354" s="8">
        <v>8328.8471536653997</v>
      </c>
      <c r="C1354" s="12">
        <v>17909.945909565002</v>
      </c>
      <c r="D1354" s="8">
        <v>-1.1045722578611299</v>
      </c>
      <c r="E1354" s="12">
        <v>6.8808087122401197E-3</v>
      </c>
      <c r="F1354" s="8" t="s">
        <v>6410</v>
      </c>
      <c r="G1354" s="12" t="s">
        <v>18153</v>
      </c>
      <c r="H1354" s="12">
        <v>1</v>
      </c>
      <c r="I1354" s="13" t="str">
        <f>HYPERLINK("http://www.ncbi.nlm.nih.gov/gene/57820", "57820")</f>
        <v>57820</v>
      </c>
      <c r="J1354" s="12" t="s">
        <v>18154</v>
      </c>
      <c r="K1354" s="12" t="s">
        <v>18155</v>
      </c>
      <c r="L1354" s="13" t="str">
        <f>HYPERLINK("http://asia.ensembl.org/Homo_sapiens/Gene/Summary?g=ENSG00000100814", "ENSG00000100814")</f>
        <v>ENSG00000100814</v>
      </c>
      <c r="M1354" s="12" t="s">
        <v>18156</v>
      </c>
      <c r="N1354" s="12" t="s">
        <v>18157</v>
      </c>
    </row>
    <row r="1355" spans="1:14">
      <c r="A1355" s="12" t="s">
        <v>8861</v>
      </c>
      <c r="B1355" s="8">
        <v>12734.643685478501</v>
      </c>
      <c r="C1355" s="12">
        <v>27381.173518447999</v>
      </c>
      <c r="D1355" s="8">
        <v>-1.10442568613272</v>
      </c>
      <c r="E1355" s="12">
        <v>6.3660523028601403E-3</v>
      </c>
      <c r="F1355" s="8" t="s">
        <v>8862</v>
      </c>
      <c r="G1355" s="12" t="s">
        <v>8863</v>
      </c>
      <c r="H1355" s="12">
        <v>1</v>
      </c>
      <c r="I1355" s="13" t="str">
        <f>HYPERLINK("http://www.ncbi.nlm.nih.gov/gene/51081", "51081")</f>
        <v>51081</v>
      </c>
      <c r="J1355" s="13" t="str">
        <f>HYPERLINK("http://www.ncbi.nlm.nih.gov/nuccore/NM_015971", "NM_015971")</f>
        <v>NM_015971</v>
      </c>
      <c r="K1355" s="12" t="s">
        <v>8864</v>
      </c>
      <c r="L1355" s="13" t="str">
        <f>HYPERLINK("http://asia.ensembl.org/Homo_sapiens/Gene/Summary?g=ENSG00000125445", "ENSG00000125445")</f>
        <v>ENSG00000125445</v>
      </c>
      <c r="M1355" s="12" t="s">
        <v>18985</v>
      </c>
      <c r="N1355" s="12" t="s">
        <v>18986</v>
      </c>
    </row>
    <row r="1356" spans="1:14">
      <c r="A1356" s="12" t="s">
        <v>11136</v>
      </c>
      <c r="B1356" s="8">
        <v>568.21783074302698</v>
      </c>
      <c r="C1356" s="12">
        <v>1221.53772420672</v>
      </c>
      <c r="D1356" s="8">
        <v>-1.1041824091108301</v>
      </c>
      <c r="E1356" s="12">
        <v>5.5335716673421704E-3</v>
      </c>
      <c r="F1356" s="8" t="s">
        <v>7990</v>
      </c>
      <c r="G1356" s="12" t="s">
        <v>7991</v>
      </c>
      <c r="H1356" s="12">
        <v>1</v>
      </c>
      <c r="I1356" s="13" t="str">
        <f>HYPERLINK("http://www.ncbi.nlm.nih.gov/gene/22884", "22884")</f>
        <v>22884</v>
      </c>
      <c r="J1356" s="13" t="str">
        <f>HYPERLINK("http://www.ncbi.nlm.nih.gov/nuccore/NM_014023", "NM_014023")</f>
        <v>NM_014023</v>
      </c>
      <c r="K1356" s="12" t="s">
        <v>7992</v>
      </c>
      <c r="L1356" s="13" t="str">
        <f>HYPERLINK("http://asia.ensembl.org/Homo_sapiens/Gene/Summary?g=ENSG00000047056", "ENSG00000047056")</f>
        <v>ENSG00000047056</v>
      </c>
      <c r="M1356" s="12" t="s">
        <v>19991</v>
      </c>
      <c r="N1356" s="12" t="s">
        <v>19992</v>
      </c>
    </row>
    <row r="1357" spans="1:14">
      <c r="A1357" s="12" t="s">
        <v>3094</v>
      </c>
      <c r="B1357" s="8">
        <v>254.139392974603</v>
      </c>
      <c r="C1357" s="12">
        <v>546.325951704678</v>
      </c>
      <c r="D1357" s="8">
        <v>-1.1041419376792301</v>
      </c>
      <c r="E1357" s="12">
        <v>1.17903889123539E-2</v>
      </c>
      <c r="F1357" s="8" t="s">
        <v>3095</v>
      </c>
      <c r="G1357" s="12" t="s">
        <v>17203</v>
      </c>
      <c r="H1357" s="12">
        <v>1</v>
      </c>
      <c r="I1357" s="13" t="str">
        <f>HYPERLINK("http://www.ncbi.nlm.nih.gov/gene/3744", "3744")</f>
        <v>3744</v>
      </c>
      <c r="J1357" s="13" t="str">
        <f>HYPERLINK("http://www.ncbi.nlm.nih.gov/nuccore/NM_005549", "NM_005549")</f>
        <v>NM_005549</v>
      </c>
      <c r="K1357" s="12" t="s">
        <v>3096</v>
      </c>
      <c r="L1357" s="13" t="str">
        <f>HYPERLINK("http://asia.ensembl.org/Homo_sapiens/Gene/Summary?g=ENSG00000143105", "ENSG00000143105")</f>
        <v>ENSG00000143105</v>
      </c>
      <c r="M1357" s="12" t="s">
        <v>3097</v>
      </c>
      <c r="N1357" s="12" t="s">
        <v>3098</v>
      </c>
    </row>
    <row r="1358" spans="1:14">
      <c r="A1358" s="12" t="s">
        <v>8318</v>
      </c>
      <c r="B1358" s="8">
        <v>5675.2789618178203</v>
      </c>
      <c r="C1358" s="12">
        <v>12199.317365777701</v>
      </c>
      <c r="D1358" s="8">
        <v>-1.10403720823618</v>
      </c>
      <c r="E1358" s="12">
        <v>4.0712777857068302E-3</v>
      </c>
      <c r="F1358" s="8" t="s">
        <v>3317</v>
      </c>
      <c r="G1358" s="12" t="s">
        <v>3318</v>
      </c>
      <c r="H1358" s="12">
        <v>1</v>
      </c>
      <c r="I1358" s="13" t="str">
        <f>HYPERLINK("http://www.ncbi.nlm.nih.gov/gene/39", "39")</f>
        <v>39</v>
      </c>
      <c r="J1358" s="13" t="str">
        <f>HYPERLINK("http://www.ncbi.nlm.nih.gov/nuccore/NM_005891", "NM_005891")</f>
        <v>NM_005891</v>
      </c>
      <c r="K1358" s="12" t="s">
        <v>3319</v>
      </c>
      <c r="L1358" s="13" t="str">
        <f>HYPERLINK("http://asia.ensembl.org/Homo_sapiens/Gene/Summary?g=ENSG00000120437", "ENSG00000120437")</f>
        <v>ENSG00000120437</v>
      </c>
      <c r="M1358" s="12" t="s">
        <v>18781</v>
      </c>
      <c r="N1358" s="12" t="s">
        <v>3320</v>
      </c>
    </row>
    <row r="1359" spans="1:14">
      <c r="A1359" s="12" t="s">
        <v>10348</v>
      </c>
      <c r="B1359" s="8">
        <v>143.188374479148</v>
      </c>
      <c r="C1359" s="12">
        <v>307.75694018520602</v>
      </c>
      <c r="D1359" s="8">
        <v>-1.1038770267226401</v>
      </c>
      <c r="E1359" s="12">
        <v>1.9316734379750899E-2</v>
      </c>
      <c r="F1359" s="8" t="s">
        <v>10349</v>
      </c>
      <c r="G1359" s="12" t="s">
        <v>19683</v>
      </c>
      <c r="H1359" s="12">
        <v>1</v>
      </c>
      <c r="I1359" s="13" t="str">
        <f>HYPERLINK("http://www.ncbi.nlm.nih.gov/gene/158983", "158983")</f>
        <v>158983</v>
      </c>
      <c r="J1359" s="13" t="str">
        <f>HYPERLINK("http://www.ncbi.nlm.nih.gov/nuccore/NM_001002916", "NM_001002916")</f>
        <v>NM_001002916</v>
      </c>
      <c r="K1359" s="12" t="s">
        <v>10350</v>
      </c>
      <c r="L1359" s="13" t="str">
        <f>HYPERLINK("http://asia.ensembl.org/Homo_sapiens/Gene/Summary?g=ENSG00000123569", "ENSG00000123569")</f>
        <v>ENSG00000123569</v>
      </c>
      <c r="M1359" s="12" t="s">
        <v>19684</v>
      </c>
      <c r="N1359" s="12" t="s">
        <v>19685</v>
      </c>
    </row>
    <row r="1360" spans="1:14">
      <c r="A1360" s="12" t="s">
        <v>7570</v>
      </c>
      <c r="B1360" s="8">
        <v>11914.093608732401</v>
      </c>
      <c r="C1360" s="12">
        <v>25595.998888803999</v>
      </c>
      <c r="D1360" s="8">
        <v>-1.1032491094236101</v>
      </c>
      <c r="E1360" s="12">
        <v>5.0585517961342199E-3</v>
      </c>
      <c r="F1360" s="8" t="s">
        <v>7571</v>
      </c>
      <c r="G1360" s="12" t="s">
        <v>7572</v>
      </c>
      <c r="H1360" s="12">
        <v>1</v>
      </c>
      <c r="I1360" s="13" t="str">
        <f>HYPERLINK("http://www.ncbi.nlm.nih.gov/gene/140467", "140467")</f>
        <v>140467</v>
      </c>
      <c r="J1360" s="13" t="str">
        <f>HYPERLINK("http://www.ncbi.nlm.nih.gov/nuccore/NM_018083", "NM_018083")</f>
        <v>NM_018083</v>
      </c>
      <c r="K1360" s="12" t="s">
        <v>7573</v>
      </c>
      <c r="L1360" s="13" t="str">
        <f>HYPERLINK("http://asia.ensembl.org/Homo_sapiens/Gene/Summary?g=ENSG00000198816", "ENSG00000198816")</f>
        <v>ENSG00000198816</v>
      </c>
      <c r="M1360" s="12" t="s">
        <v>18575</v>
      </c>
      <c r="N1360" s="12" t="s">
        <v>18576</v>
      </c>
    </row>
    <row r="1361" spans="1:14">
      <c r="A1361" s="12" t="s">
        <v>5503</v>
      </c>
      <c r="B1361" s="8">
        <v>5322.7973620799503</v>
      </c>
      <c r="C1361" s="12">
        <v>11435.181734260999</v>
      </c>
      <c r="D1361" s="8">
        <v>-1.10322274475721</v>
      </c>
      <c r="E1361" s="12">
        <v>1.1021849236952199E-2</v>
      </c>
      <c r="F1361" s="8" t="s">
        <v>5504</v>
      </c>
      <c r="G1361" s="12" t="s">
        <v>5505</v>
      </c>
      <c r="H1361" s="12">
        <v>1</v>
      </c>
      <c r="I1361" s="13" t="str">
        <f>HYPERLINK("http://www.ncbi.nlm.nih.gov/gene/126208", "126208")</f>
        <v>126208</v>
      </c>
      <c r="J1361" s="13" t="str">
        <f>HYPERLINK("http://www.ncbi.nlm.nih.gov/nuccore/NM_001002836", "NM_001002836")</f>
        <v>NM_001002836</v>
      </c>
      <c r="K1361" s="12" t="s">
        <v>5506</v>
      </c>
      <c r="L1361" s="13" t="str">
        <f>HYPERLINK("http://asia.ensembl.org/Homo_sapiens/Gene/Summary?g=ENSG00000142409", "ENSG00000142409")</f>
        <v>ENSG00000142409</v>
      </c>
      <c r="M1361" s="12" t="s">
        <v>17887</v>
      </c>
      <c r="N1361" s="12" t="s">
        <v>17888</v>
      </c>
    </row>
    <row r="1362" spans="1:14">
      <c r="A1362" s="12" t="s">
        <v>10242</v>
      </c>
      <c r="B1362" s="8">
        <v>4358.7421199379996</v>
      </c>
      <c r="C1362" s="12">
        <v>9363.7947112990205</v>
      </c>
      <c r="D1362" s="8">
        <v>-1.10318145484178</v>
      </c>
      <c r="E1362" s="12">
        <v>7.0912143458412803E-3</v>
      </c>
      <c r="F1362" s="8" t="s">
        <v>10243</v>
      </c>
      <c r="G1362" s="12" t="s">
        <v>10244</v>
      </c>
      <c r="H1362" s="12">
        <v>1</v>
      </c>
      <c r="I1362" s="13" t="str">
        <f>HYPERLINK("http://www.ncbi.nlm.nih.gov/gene/2224", "2224")</f>
        <v>2224</v>
      </c>
      <c r="J1362" s="12" t="s">
        <v>19618</v>
      </c>
      <c r="K1362" s="12" t="s">
        <v>19619</v>
      </c>
      <c r="L1362" s="13" t="str">
        <f>HYPERLINK("http://asia.ensembl.org/Homo_sapiens/Gene/Summary?g=ENSG00000160752", "ENSG00000160752")</f>
        <v>ENSG00000160752</v>
      </c>
      <c r="M1362" s="12" t="s">
        <v>19620</v>
      </c>
      <c r="N1362" s="12" t="s">
        <v>19621</v>
      </c>
    </row>
    <row r="1363" spans="1:14">
      <c r="A1363" s="12" t="s">
        <v>4370</v>
      </c>
      <c r="B1363" s="8">
        <v>6348.3866293015599</v>
      </c>
      <c r="C1363" s="12">
        <v>13637.5585520286</v>
      </c>
      <c r="D1363" s="8">
        <v>-1.10312349174292</v>
      </c>
      <c r="E1363" s="12">
        <v>7.4896622348809604E-3</v>
      </c>
      <c r="F1363" s="8" t="s">
        <v>4371</v>
      </c>
      <c r="G1363" s="12" t="s">
        <v>4372</v>
      </c>
      <c r="H1363" s="12">
        <v>4</v>
      </c>
      <c r="I1363" s="12" t="s">
        <v>4373</v>
      </c>
      <c r="J1363" s="12" t="s">
        <v>4374</v>
      </c>
      <c r="K1363" s="12" t="s">
        <v>4375</v>
      </c>
      <c r="L1363" s="12" t="s">
        <v>4376</v>
      </c>
      <c r="M1363" s="12" t="s">
        <v>17672</v>
      </c>
      <c r="N1363" s="12" t="s">
        <v>17673</v>
      </c>
    </row>
    <row r="1364" spans="1:14">
      <c r="A1364" s="12" t="s">
        <v>10000</v>
      </c>
      <c r="B1364" s="8">
        <v>15218.035971712499</v>
      </c>
      <c r="C1364" s="12">
        <v>32691.143447440201</v>
      </c>
      <c r="D1364" s="8">
        <v>-1.1031176618257801</v>
      </c>
      <c r="E1364" s="12">
        <v>9.1861117493490293E-3</v>
      </c>
      <c r="F1364" s="8" t="s">
        <v>10001</v>
      </c>
      <c r="G1364" s="12" t="s">
        <v>10002</v>
      </c>
      <c r="H1364" s="12">
        <v>1</v>
      </c>
      <c r="I1364" s="13" t="str">
        <f>HYPERLINK("http://www.ncbi.nlm.nih.gov/gene/402", "402")</f>
        <v>402</v>
      </c>
      <c r="J1364" s="12" t="s">
        <v>19498</v>
      </c>
      <c r="K1364" s="12" t="s">
        <v>19499</v>
      </c>
      <c r="L1364" s="13" t="str">
        <f>HYPERLINK("http://asia.ensembl.org/Homo_sapiens/Gene/Summary?g=ENSG00000213465", "ENSG00000213465")</f>
        <v>ENSG00000213465</v>
      </c>
      <c r="M1364" s="12" t="s">
        <v>19500</v>
      </c>
      <c r="N1364" s="12" t="s">
        <v>19501</v>
      </c>
    </row>
    <row r="1365" spans="1:14">
      <c r="A1365" s="12" t="s">
        <v>3645</v>
      </c>
      <c r="B1365" s="8">
        <v>29207.246639081201</v>
      </c>
      <c r="C1365" s="12">
        <v>62713.697597054699</v>
      </c>
      <c r="D1365" s="8">
        <v>-1.10245422130879</v>
      </c>
      <c r="E1365" s="12">
        <v>3.1786761889135498E-2</v>
      </c>
      <c r="F1365" s="8" t="s">
        <v>3646</v>
      </c>
      <c r="G1365" s="12" t="s">
        <v>3647</v>
      </c>
      <c r="H1365" s="12">
        <v>1</v>
      </c>
      <c r="I1365" s="13" t="str">
        <f>HYPERLINK("http://www.ncbi.nlm.nih.gov/gene/84299", "84299")</f>
        <v>84299</v>
      </c>
      <c r="J1365" s="13" t="str">
        <f>HYPERLINK("http://www.ncbi.nlm.nih.gov/nuccore/NM_032339", "NM_032339")</f>
        <v>NM_032339</v>
      </c>
      <c r="K1365" s="12" t="s">
        <v>3648</v>
      </c>
      <c r="L1365" s="13" t="str">
        <f>HYPERLINK("http://asia.ensembl.org/Homo_sapiens/Gene/Summary?g=ENSG00000141741", "ENSG00000141741")</f>
        <v>ENSG00000141741</v>
      </c>
      <c r="M1365" s="12" t="s">
        <v>17365</v>
      </c>
      <c r="N1365" s="12" t="s">
        <v>17366</v>
      </c>
    </row>
    <row r="1366" spans="1:14">
      <c r="A1366" s="12" t="s">
        <v>162</v>
      </c>
      <c r="B1366" s="8">
        <v>18264.177145299898</v>
      </c>
      <c r="C1366" s="12">
        <v>39212.963915634398</v>
      </c>
      <c r="D1366" s="8">
        <v>-1.10231393469381</v>
      </c>
      <c r="E1366" s="12">
        <v>8.0590606997241899E-3</v>
      </c>
      <c r="F1366" s="8" t="s">
        <v>163</v>
      </c>
      <c r="G1366" s="12" t="s">
        <v>164</v>
      </c>
      <c r="H1366" s="12">
        <v>1</v>
      </c>
      <c r="I1366" s="13" t="str">
        <f>HYPERLINK("http://www.ncbi.nlm.nih.gov/gene/4319", "4319")</f>
        <v>4319</v>
      </c>
      <c r="J1366" s="13" t="str">
        <f>HYPERLINK("http://www.ncbi.nlm.nih.gov/nuccore/NM_002425", "NM_002425")</f>
        <v>NM_002425</v>
      </c>
      <c r="K1366" s="12" t="s">
        <v>165</v>
      </c>
      <c r="L1366" s="13" t="str">
        <f>HYPERLINK("http://asia.ensembl.org/Homo_sapiens/Gene/Summary?g=ENSG00000166670", "ENSG00000166670")</f>
        <v>ENSG00000166670</v>
      </c>
      <c r="M1366" s="12" t="s">
        <v>16266</v>
      </c>
      <c r="N1366" s="12" t="s">
        <v>16267</v>
      </c>
    </row>
    <row r="1367" spans="1:14">
      <c r="A1367" s="12" t="s">
        <v>8599</v>
      </c>
      <c r="B1367" s="8">
        <v>102.74060248811701</v>
      </c>
      <c r="C1367" s="12">
        <v>220.55275174754701</v>
      </c>
      <c r="D1367" s="8">
        <v>-1.10211732143749</v>
      </c>
      <c r="E1367" s="12">
        <v>2.16383862200758E-2</v>
      </c>
      <c r="F1367" s="8" t="s">
        <v>8600</v>
      </c>
      <c r="G1367" s="12" t="s">
        <v>18927</v>
      </c>
      <c r="H1367" s="12">
        <v>1</v>
      </c>
      <c r="I1367" s="13" t="str">
        <f>HYPERLINK("http://www.ncbi.nlm.nih.gov/gene/134187", "134187")</f>
        <v>134187</v>
      </c>
      <c r="J1367" s="13" t="str">
        <f>HYPERLINK("http://www.ncbi.nlm.nih.gov/nuccore/NM_153216", "NM_153216")</f>
        <v>NM_153216</v>
      </c>
      <c r="K1367" s="12" t="s">
        <v>8601</v>
      </c>
      <c r="L1367" s="13" t="str">
        <f>HYPERLINK("http://asia.ensembl.org/Homo_sapiens/Gene/Summary?g=ENSG00000248483", "ENSG00000248483")</f>
        <v>ENSG00000248483</v>
      </c>
      <c r="M1367" s="12" t="s">
        <v>18928</v>
      </c>
      <c r="N1367" s="12" t="s">
        <v>8602</v>
      </c>
    </row>
    <row r="1368" spans="1:14">
      <c r="A1368" s="12" t="s">
        <v>7351</v>
      </c>
      <c r="B1368" s="8">
        <v>44296.352839782201</v>
      </c>
      <c r="C1368" s="12">
        <v>95081.471044190301</v>
      </c>
      <c r="D1368" s="8">
        <v>-1.10197630525365</v>
      </c>
      <c r="E1368" s="12">
        <v>1.10261137561075E-2</v>
      </c>
      <c r="F1368" s="8" t="s">
        <v>6904</v>
      </c>
      <c r="G1368" s="12" t="s">
        <v>6905</v>
      </c>
      <c r="H1368" s="12">
        <v>1</v>
      </c>
      <c r="I1368" s="13" t="str">
        <f>HYPERLINK("http://www.ncbi.nlm.nih.gov/gene/54998", "54998")</f>
        <v>54998</v>
      </c>
      <c r="J1368" s="12" t="s">
        <v>18293</v>
      </c>
      <c r="K1368" s="12" t="s">
        <v>18294</v>
      </c>
      <c r="L1368" s="13" t="str">
        <f>HYPERLINK("http://asia.ensembl.org/Homo_sapiens/Gene/Summary?g=ENSG00000175756", "ENSG00000175756")</f>
        <v>ENSG00000175756</v>
      </c>
      <c r="M1368" s="12" t="s">
        <v>18295</v>
      </c>
      <c r="N1368" s="12" t="s">
        <v>18296</v>
      </c>
    </row>
    <row r="1369" spans="1:14">
      <c r="A1369" s="12" t="s">
        <v>7472</v>
      </c>
      <c r="B1369" s="8">
        <v>984.26681555216999</v>
      </c>
      <c r="C1369" s="12">
        <v>2112.3996706841599</v>
      </c>
      <c r="D1369" s="8">
        <v>-1.1017614614059701</v>
      </c>
      <c r="E1369" s="12">
        <v>4.2237138907515702E-3</v>
      </c>
      <c r="F1369" s="8" t="s">
        <v>7473</v>
      </c>
      <c r="G1369" s="12" t="s">
        <v>7474</v>
      </c>
      <c r="H1369" s="12">
        <v>1</v>
      </c>
      <c r="I1369" s="13" t="str">
        <f>HYPERLINK("http://www.ncbi.nlm.nih.gov/gene/84996", "84996")</f>
        <v>84996</v>
      </c>
      <c r="J1369" s="13" t="str">
        <f>HYPERLINK("http://www.ncbi.nlm.nih.gov/nuccore/NR_026845", "NR_026845")</f>
        <v>NR_026845</v>
      </c>
      <c r="K1369" s="12" t="s">
        <v>199</v>
      </c>
      <c r="L1369" s="13" t="str">
        <f>HYPERLINK("http://asia.ensembl.org/Homo_sapiens/Gene/Summary?g=ENSG00000256073", "ENSG00000256073")</f>
        <v>ENSG00000256073</v>
      </c>
      <c r="M1369" s="12" t="s">
        <v>7475</v>
      </c>
    </row>
    <row r="1370" spans="1:14">
      <c r="A1370" s="12" t="s">
        <v>4188</v>
      </c>
      <c r="B1370" s="8">
        <v>14726.842615920301</v>
      </c>
      <c r="C1370" s="12">
        <v>31600.870286793001</v>
      </c>
      <c r="D1370" s="8">
        <v>-1.10151613601376</v>
      </c>
      <c r="E1370" s="12">
        <v>8.2822041699017693E-3</v>
      </c>
      <c r="F1370" s="8" t="s">
        <v>4189</v>
      </c>
      <c r="G1370" s="12" t="s">
        <v>4190</v>
      </c>
      <c r="H1370" s="12">
        <v>1</v>
      </c>
      <c r="I1370" s="13" t="str">
        <f>HYPERLINK("http://www.ncbi.nlm.nih.gov/gene/64976", "64976")</f>
        <v>64976</v>
      </c>
      <c r="J1370" s="13" t="str">
        <f>HYPERLINK("http://www.ncbi.nlm.nih.gov/nuccore/NM_003776", "NM_003776")</f>
        <v>NM_003776</v>
      </c>
      <c r="K1370" s="12" t="s">
        <v>4191</v>
      </c>
      <c r="L1370" s="13" t="str">
        <f>HYPERLINK("http://asia.ensembl.org/Homo_sapiens/Gene/Summary?g=ENSG00000185608", "ENSG00000185608")</f>
        <v>ENSG00000185608</v>
      </c>
      <c r="M1370" s="12" t="s">
        <v>17609</v>
      </c>
      <c r="N1370" s="12" t="s">
        <v>4192</v>
      </c>
    </row>
    <row r="1371" spans="1:14">
      <c r="A1371" s="12" t="s">
        <v>9809</v>
      </c>
      <c r="B1371" s="8">
        <v>5152.9833215670697</v>
      </c>
      <c r="C1371" s="12">
        <v>11056.6621129537</v>
      </c>
      <c r="D1371" s="8">
        <v>-1.10143608912348</v>
      </c>
      <c r="E1371" s="12">
        <v>1.19526137316971E-2</v>
      </c>
      <c r="F1371" s="8" t="s">
        <v>274</v>
      </c>
      <c r="G1371" s="12" t="s">
        <v>275</v>
      </c>
      <c r="H1371" s="12">
        <v>1</v>
      </c>
      <c r="I1371" s="13" t="str">
        <f>HYPERLINK("http://www.ncbi.nlm.nih.gov/gene/3692", "3692")</f>
        <v>3692</v>
      </c>
      <c r="J1371" s="12" t="s">
        <v>18787</v>
      </c>
      <c r="K1371" s="12" t="s">
        <v>18788</v>
      </c>
      <c r="L1371" s="13" t="str">
        <f>HYPERLINK("http://asia.ensembl.org/Homo_sapiens/Gene/Summary?g=ENSG00000242372", "ENSG00000242372")</f>
        <v>ENSG00000242372</v>
      </c>
      <c r="M1371" s="12" t="s">
        <v>18789</v>
      </c>
      <c r="N1371" s="12" t="s">
        <v>18790</v>
      </c>
    </row>
    <row r="1372" spans="1:14">
      <c r="A1372" s="12" t="s">
        <v>8885</v>
      </c>
      <c r="B1372" s="8">
        <v>9026.9240696886809</v>
      </c>
      <c r="C1372" s="12">
        <v>19368.051998791001</v>
      </c>
      <c r="D1372" s="8">
        <v>-1.1013724804884999</v>
      </c>
      <c r="E1372" s="12">
        <v>4.88289529957147E-3</v>
      </c>
      <c r="F1372" s="8" t="s">
        <v>8886</v>
      </c>
      <c r="G1372" s="12" t="s">
        <v>8887</v>
      </c>
      <c r="H1372" s="12">
        <v>1</v>
      </c>
      <c r="I1372" s="13" t="str">
        <f>HYPERLINK("http://www.ncbi.nlm.nih.gov/gene/10980", "10980")</f>
        <v>10980</v>
      </c>
      <c r="J1372" s="13" t="str">
        <f>HYPERLINK("http://www.ncbi.nlm.nih.gov/nuccore/NM_006833", "NM_006833")</f>
        <v>NM_006833</v>
      </c>
      <c r="K1372" s="12" t="s">
        <v>8888</v>
      </c>
      <c r="L1372" s="13" t="str">
        <f>HYPERLINK("http://asia.ensembl.org/Homo_sapiens/Gene/Summary?g=ENSG00000168090", "ENSG00000168090")</f>
        <v>ENSG00000168090</v>
      </c>
      <c r="M1372" s="12" t="s">
        <v>18992</v>
      </c>
      <c r="N1372" s="12" t="s">
        <v>18993</v>
      </c>
    </row>
    <row r="1373" spans="1:14">
      <c r="A1373" s="12" t="s">
        <v>7692</v>
      </c>
      <c r="B1373" s="8">
        <v>54.301543422578398</v>
      </c>
      <c r="C1373" s="12">
        <v>116.47869985827199</v>
      </c>
      <c r="D1373" s="8">
        <v>-1.1010010475899901</v>
      </c>
      <c r="E1373" s="12">
        <v>4.9215879230736503E-2</v>
      </c>
      <c r="F1373" s="8" t="s">
        <v>2158</v>
      </c>
      <c r="G1373" s="12" t="s">
        <v>18622</v>
      </c>
      <c r="H1373" s="12">
        <v>1</v>
      </c>
      <c r="I1373" s="13" t="str">
        <f>HYPERLINK("http://www.ncbi.nlm.nih.gov/gene/8794", "8794")</f>
        <v>8794</v>
      </c>
      <c r="J1373" s="13" t="str">
        <f>HYPERLINK("http://www.ncbi.nlm.nih.gov/nuccore/NM_003841", "NM_003841")</f>
        <v>NM_003841</v>
      </c>
      <c r="K1373" s="12" t="s">
        <v>2159</v>
      </c>
      <c r="L1373" s="13" t="str">
        <f>HYPERLINK("http://asia.ensembl.org/Homo_sapiens/Gene/Summary?g=ENSG00000173535", "ENSG00000173535")</f>
        <v>ENSG00000173535</v>
      </c>
      <c r="M1373" s="12" t="s">
        <v>18623</v>
      </c>
      <c r="N1373" s="12" t="s">
        <v>18624</v>
      </c>
    </row>
    <row r="1374" spans="1:14">
      <c r="A1374" s="12" t="s">
        <v>9432</v>
      </c>
      <c r="B1374" s="8">
        <v>5533.3237824386697</v>
      </c>
      <c r="C1374" s="12">
        <v>11868.1482324483</v>
      </c>
      <c r="D1374" s="8">
        <v>-1.10087660055346</v>
      </c>
      <c r="E1374" s="12">
        <v>1.35914603304123E-2</v>
      </c>
      <c r="F1374" s="8" t="s">
        <v>9433</v>
      </c>
      <c r="G1374" s="12" t="s">
        <v>9434</v>
      </c>
      <c r="H1374" s="12">
        <v>1</v>
      </c>
      <c r="I1374" s="13" t="str">
        <f>HYPERLINK("http://www.ncbi.nlm.nih.gov/gene/255758", "255758")</f>
        <v>255758</v>
      </c>
      <c r="J1374" s="13" t="str">
        <f>HYPERLINK("http://www.ncbi.nlm.nih.gov/nuccore/NM_152773", "NM_152773")</f>
        <v>NM_152773</v>
      </c>
      <c r="K1374" s="12" t="s">
        <v>9435</v>
      </c>
      <c r="L1374" s="13" t="str">
        <f>HYPERLINK("http://asia.ensembl.org/Homo_sapiens/Gene/Summary?g=ENSG00000213123", "ENSG00000213123")</f>
        <v>ENSG00000213123</v>
      </c>
      <c r="M1374" s="12" t="s">
        <v>19153</v>
      </c>
      <c r="N1374" s="12" t="s">
        <v>19154</v>
      </c>
    </row>
    <row r="1375" spans="1:14">
      <c r="A1375" s="12" t="s">
        <v>6978</v>
      </c>
      <c r="B1375" s="8">
        <v>10855.248629445599</v>
      </c>
      <c r="C1375" s="12">
        <v>23282.858659302699</v>
      </c>
      <c r="D1375" s="8">
        <v>-1.1008754326644401</v>
      </c>
      <c r="E1375" s="12">
        <v>4.2008160997476299E-3</v>
      </c>
      <c r="F1375" s="8" t="s">
        <v>6979</v>
      </c>
      <c r="G1375" s="12" t="s">
        <v>6980</v>
      </c>
      <c r="H1375" s="12">
        <v>1</v>
      </c>
      <c r="I1375" s="13" t="str">
        <f>HYPERLINK("http://www.ncbi.nlm.nih.gov/gene/116832", "116832")</f>
        <v>116832</v>
      </c>
      <c r="J1375" s="13" t="str">
        <f>HYPERLINK("http://www.ncbi.nlm.nih.gov/nuccore/NM_052969", "NM_052969")</f>
        <v>NM_052969</v>
      </c>
      <c r="K1375" s="12" t="s">
        <v>6981</v>
      </c>
      <c r="L1375" s="13" t="str">
        <f>HYPERLINK("http://asia.ensembl.org/Homo_sapiens/Gene/Summary?g=ENSG00000163923", "ENSG00000163923")</f>
        <v>ENSG00000163923</v>
      </c>
      <c r="M1375" s="12" t="s">
        <v>18323</v>
      </c>
      <c r="N1375" s="12" t="s">
        <v>18324</v>
      </c>
    </row>
    <row r="1376" spans="1:14">
      <c r="A1376" s="12" t="s">
        <v>574</v>
      </c>
      <c r="B1376" s="8">
        <v>1662.49721084056</v>
      </c>
      <c r="C1376" s="12">
        <v>3564.9518331116201</v>
      </c>
      <c r="D1376" s="8">
        <v>-1.1005306639977099</v>
      </c>
      <c r="E1376" s="12">
        <v>5.7971048125978102E-3</v>
      </c>
      <c r="F1376" s="8" t="s">
        <v>575</v>
      </c>
      <c r="G1376" s="12" t="s">
        <v>16378</v>
      </c>
      <c r="H1376" s="12">
        <v>1</v>
      </c>
      <c r="I1376" s="13" t="str">
        <f>HYPERLINK("http://www.ncbi.nlm.nih.gov/gene/84619", "84619")</f>
        <v>84619</v>
      </c>
      <c r="J1376" s="12" t="s">
        <v>16379</v>
      </c>
      <c r="K1376" s="12" t="s">
        <v>16380</v>
      </c>
      <c r="L1376" s="13" t="str">
        <f>HYPERLINK("http://asia.ensembl.org/Homo_sapiens/Gene/Summary?g=ENSG00000197114", "ENSG00000197114")</f>
        <v>ENSG00000197114</v>
      </c>
      <c r="M1376" s="12" t="s">
        <v>16381</v>
      </c>
      <c r="N1376" s="12" t="s">
        <v>16382</v>
      </c>
    </row>
    <row r="1377" spans="1:14">
      <c r="A1377" s="12" t="s">
        <v>1909</v>
      </c>
      <c r="B1377" s="8">
        <v>152.60340070331199</v>
      </c>
      <c r="C1377" s="12">
        <v>327.07329208171899</v>
      </c>
      <c r="D1377" s="8">
        <v>-1.0998268452750699</v>
      </c>
      <c r="E1377" s="12">
        <v>5.0814782681007E-3</v>
      </c>
      <c r="F1377" s="8" t="s">
        <v>1910</v>
      </c>
      <c r="G1377" s="12" t="s">
        <v>16836</v>
      </c>
      <c r="H1377" s="12">
        <v>1</v>
      </c>
      <c r="I1377" s="13" t="str">
        <f>HYPERLINK("http://www.ncbi.nlm.nih.gov/gene/6691", "6691")</f>
        <v>6691</v>
      </c>
      <c r="J1377" s="12" t="s">
        <v>16837</v>
      </c>
      <c r="K1377" s="12" t="s">
        <v>16838</v>
      </c>
      <c r="L1377" s="13" t="str">
        <f>HYPERLINK("http://asia.ensembl.org/Homo_sapiens/Gene/Summary?g=ENSG00000128040", "ENSG00000128040")</f>
        <v>ENSG00000128040</v>
      </c>
      <c r="M1377" s="12" t="s">
        <v>16839</v>
      </c>
      <c r="N1377" s="12" t="s">
        <v>16840</v>
      </c>
    </row>
    <row r="1378" spans="1:14">
      <c r="A1378" s="12" t="s">
        <v>10706</v>
      </c>
      <c r="B1378" s="8">
        <v>242.37656488541799</v>
      </c>
      <c r="C1378" s="12">
        <v>519.48173584837104</v>
      </c>
      <c r="D1378" s="8">
        <v>-1.09982281414768</v>
      </c>
      <c r="E1378" s="12">
        <v>4.0544631860718397E-3</v>
      </c>
      <c r="F1378" s="8" t="s">
        <v>4421</v>
      </c>
      <c r="G1378" s="12" t="s">
        <v>4422</v>
      </c>
      <c r="H1378" s="12">
        <v>1</v>
      </c>
      <c r="I1378" s="13" t="str">
        <f>HYPERLINK("http://www.ncbi.nlm.nih.gov/gene/3176", "3176")</f>
        <v>3176</v>
      </c>
      <c r="J1378" s="13" t="str">
        <f>HYPERLINK("http://www.ncbi.nlm.nih.gov/nuccore/NM_006895", "NM_006895")</f>
        <v>NM_006895</v>
      </c>
      <c r="K1378" s="12" t="s">
        <v>4423</v>
      </c>
      <c r="L1378" s="13" t="str">
        <f>HYPERLINK("http://asia.ensembl.org/Homo_sapiens/Gene/Summary?g=ENSG00000150540", "ENSG00000150540")</f>
        <v>ENSG00000150540</v>
      </c>
      <c r="M1378" s="12" t="s">
        <v>19834</v>
      </c>
      <c r="N1378" s="12" t="s">
        <v>19835</v>
      </c>
    </row>
    <row r="1379" spans="1:14">
      <c r="A1379" s="12" t="s">
        <v>1443</v>
      </c>
      <c r="B1379" s="8">
        <v>33017.354569939002</v>
      </c>
      <c r="C1379" s="12">
        <v>70758.619454838205</v>
      </c>
      <c r="D1379" s="8">
        <v>-1.0996813677391599</v>
      </c>
      <c r="E1379" s="12">
        <v>3.8757482469117701E-3</v>
      </c>
      <c r="F1379" s="8" t="s">
        <v>1444</v>
      </c>
      <c r="G1379" s="12" t="s">
        <v>1445</v>
      </c>
      <c r="H1379" s="12">
        <v>1</v>
      </c>
      <c r="I1379" s="13" t="str">
        <f>HYPERLINK("http://www.ncbi.nlm.nih.gov/gene/328", "328")</f>
        <v>328</v>
      </c>
      <c r="J1379" s="12" t="s">
        <v>16628</v>
      </c>
      <c r="K1379" s="12" t="s">
        <v>16629</v>
      </c>
      <c r="L1379" s="13" t="str">
        <f>HYPERLINK("http://asia.ensembl.org/Homo_sapiens/Gene/Summary?g=ENSG00000100823", "ENSG00000100823")</f>
        <v>ENSG00000100823</v>
      </c>
      <c r="M1379" s="12" t="s">
        <v>16630</v>
      </c>
      <c r="N1379" s="12" t="s">
        <v>16631</v>
      </c>
    </row>
    <row r="1380" spans="1:14">
      <c r="A1380" s="12" t="s">
        <v>3387</v>
      </c>
      <c r="B1380" s="8">
        <v>24157.114813214899</v>
      </c>
      <c r="C1380" s="12">
        <v>51763.124491543596</v>
      </c>
      <c r="D1380" s="8">
        <v>-1.09947654520633</v>
      </c>
      <c r="E1380" s="12">
        <v>6.5100422401149797E-3</v>
      </c>
      <c r="F1380" s="8" t="s">
        <v>3388</v>
      </c>
      <c r="G1380" s="12" t="s">
        <v>3389</v>
      </c>
      <c r="H1380" s="12">
        <v>1</v>
      </c>
      <c r="I1380" s="13" t="str">
        <f>HYPERLINK("http://www.ncbi.nlm.nih.gov/gene/28989", "28989")</f>
        <v>28989</v>
      </c>
      <c r="J1380" s="13" t="str">
        <f>HYPERLINK("http://www.ncbi.nlm.nih.gov/nuccore/NM_014064", "NM_014064")</f>
        <v>NM_014064</v>
      </c>
      <c r="K1380" s="12" t="s">
        <v>3390</v>
      </c>
      <c r="L1380" s="13" t="str">
        <f>HYPERLINK("http://asia.ensembl.org/Homo_sapiens/Gene/Summary?g=ENSG00000148335", "ENSG00000148335")</f>
        <v>ENSG00000148335</v>
      </c>
      <c r="M1380" s="12" t="s">
        <v>17289</v>
      </c>
      <c r="N1380" s="12" t="s">
        <v>17290</v>
      </c>
    </row>
    <row r="1381" spans="1:14">
      <c r="A1381" s="12" t="s">
        <v>8362</v>
      </c>
      <c r="B1381" s="8">
        <v>2096.2088870510001</v>
      </c>
      <c r="C1381" s="12">
        <v>4490.8813593431196</v>
      </c>
      <c r="D1381" s="8">
        <v>-1.09921612083919</v>
      </c>
      <c r="E1381" s="12">
        <v>1.54751326446589E-2</v>
      </c>
      <c r="F1381" s="8" t="s">
        <v>1921</v>
      </c>
      <c r="G1381" s="12" t="s">
        <v>784</v>
      </c>
      <c r="H1381" s="12">
        <v>1</v>
      </c>
      <c r="I1381" s="13" t="str">
        <f>HYPERLINK("http://www.ncbi.nlm.nih.gov/gene/26995", "26995")</f>
        <v>26995</v>
      </c>
      <c r="J1381" s="13" t="str">
        <f>HYPERLINK("http://www.ncbi.nlm.nih.gov/nuccore/NM_015679", "NM_015679")</f>
        <v>NM_015679</v>
      </c>
      <c r="K1381" s="12" t="s">
        <v>1922</v>
      </c>
      <c r="L1381" s="13" t="str">
        <f>HYPERLINK("http://asia.ensembl.org/Homo_sapiens/Gene/Summary?g=ENSG00000167112", "ENSG00000167112")</f>
        <v>ENSG00000167112</v>
      </c>
      <c r="M1381" s="12" t="s">
        <v>18808</v>
      </c>
      <c r="N1381" s="12" t="s">
        <v>1923</v>
      </c>
    </row>
    <row r="1382" spans="1:14">
      <c r="A1382" s="12" t="s">
        <v>8448</v>
      </c>
      <c r="B1382" s="8">
        <v>3433.3706389838298</v>
      </c>
      <c r="C1382" s="12">
        <v>7354.8386682949704</v>
      </c>
      <c r="D1382" s="8">
        <v>-1.0990680882455901</v>
      </c>
      <c r="E1382" s="12">
        <v>1.39742531008012E-2</v>
      </c>
      <c r="F1382" s="8" t="s">
        <v>4536</v>
      </c>
      <c r="G1382" s="12" t="s">
        <v>4537</v>
      </c>
      <c r="H1382" s="12">
        <v>1</v>
      </c>
      <c r="I1382" s="13" t="str">
        <f>HYPERLINK("http://www.ncbi.nlm.nih.gov/gene/1075", "1075")</f>
        <v>1075</v>
      </c>
      <c r="J1382" s="12" t="s">
        <v>18840</v>
      </c>
      <c r="K1382" s="12" t="s">
        <v>18841</v>
      </c>
      <c r="L1382" s="13" t="str">
        <f>HYPERLINK("http://asia.ensembl.org/Homo_sapiens/Gene/Summary?g=ENSG00000109861", "ENSG00000109861")</f>
        <v>ENSG00000109861</v>
      </c>
      <c r="M1382" s="12" t="s">
        <v>18842</v>
      </c>
      <c r="N1382" s="12" t="s">
        <v>18843</v>
      </c>
    </row>
    <row r="1383" spans="1:14">
      <c r="A1383" s="12" t="s">
        <v>1503</v>
      </c>
      <c r="B1383" s="8">
        <v>8799.8604634042804</v>
      </c>
      <c r="C1383" s="12">
        <v>18847.236394159499</v>
      </c>
      <c r="D1383" s="8">
        <v>-1.09880044121923</v>
      </c>
      <c r="E1383" s="12">
        <v>1.94622773446584E-3</v>
      </c>
      <c r="F1383" s="8" t="s">
        <v>1504</v>
      </c>
      <c r="G1383" s="12" t="s">
        <v>1505</v>
      </c>
      <c r="H1383" s="12">
        <v>1</v>
      </c>
      <c r="I1383" s="13" t="str">
        <f>HYPERLINK("http://www.ncbi.nlm.nih.gov/gene/7390", "7390")</f>
        <v>7390</v>
      </c>
      <c r="J1383" s="13" t="str">
        <f>HYPERLINK("http://www.ncbi.nlm.nih.gov/nuccore/NM_000375", "NM_000375")</f>
        <v>NM_000375</v>
      </c>
      <c r="K1383" s="12" t="s">
        <v>1506</v>
      </c>
      <c r="L1383" s="13" t="str">
        <f>HYPERLINK("http://asia.ensembl.org/Homo_sapiens/Gene/Summary?g=ENSG00000188690", "ENSG00000188690")</f>
        <v>ENSG00000188690</v>
      </c>
      <c r="M1383" s="12" t="s">
        <v>16656</v>
      </c>
      <c r="N1383" s="12" t="s">
        <v>16657</v>
      </c>
    </row>
    <row r="1384" spans="1:14">
      <c r="A1384" s="12" t="s">
        <v>8865</v>
      </c>
      <c r="B1384" s="8">
        <v>57.662368216375299</v>
      </c>
      <c r="C1384" s="12">
        <v>123.43057067580899</v>
      </c>
      <c r="D1384" s="8">
        <v>-1.0979977631253699</v>
      </c>
      <c r="E1384" s="12">
        <v>1.08187410367525E-2</v>
      </c>
      <c r="F1384" s="8" t="s">
        <v>8866</v>
      </c>
      <c r="G1384" s="12" t="s">
        <v>8867</v>
      </c>
      <c r="H1384" s="12">
        <v>1</v>
      </c>
      <c r="I1384" s="13" t="str">
        <f>HYPERLINK("http://www.ncbi.nlm.nih.gov/gene/85443", "85443")</f>
        <v>85443</v>
      </c>
      <c r="J1384" s="13" t="str">
        <f>HYPERLINK("http://www.ncbi.nlm.nih.gov/nuccore/NM_033403", "NM_033403")</f>
        <v>NM_033403</v>
      </c>
      <c r="K1384" s="12" t="s">
        <v>8868</v>
      </c>
      <c r="L1384" s="13" t="str">
        <f>HYPERLINK("http://asia.ensembl.org/Homo_sapiens/Gene/Summary?g=ENSG00000163673", "ENSG00000163673")</f>
        <v>ENSG00000163673</v>
      </c>
      <c r="M1384" s="12" t="s">
        <v>18987</v>
      </c>
      <c r="N1384" s="12" t="s">
        <v>8869</v>
      </c>
    </row>
    <row r="1385" spans="1:14">
      <c r="A1385" s="12" t="s">
        <v>9456</v>
      </c>
      <c r="B1385" s="8">
        <v>100.121632578487</v>
      </c>
      <c r="C1385" s="12">
        <v>214.29643417545699</v>
      </c>
      <c r="D1385" s="8">
        <v>-1.09785412338124</v>
      </c>
      <c r="E1385" s="12">
        <v>8.0125285391916094E-3</v>
      </c>
      <c r="F1385" s="8" t="s">
        <v>9457</v>
      </c>
      <c r="G1385" s="12" t="s">
        <v>9458</v>
      </c>
      <c r="H1385" s="12">
        <v>1</v>
      </c>
      <c r="I1385" s="13" t="str">
        <f>HYPERLINK("http://www.ncbi.nlm.nih.gov/gene/152118", "152118")</f>
        <v>152118</v>
      </c>
      <c r="J1385" s="13" t="str">
        <f>HYPERLINK("http://www.ncbi.nlm.nih.gov/nuccore/NM_001101337", "NM_001101337")</f>
        <v>NM_001101337</v>
      </c>
      <c r="K1385" s="12" t="s">
        <v>9459</v>
      </c>
      <c r="L1385" s="12" t="s">
        <v>38</v>
      </c>
      <c r="M1385" s="12" t="s">
        <v>38</v>
      </c>
      <c r="N1385" s="12" t="s">
        <v>38</v>
      </c>
    </row>
    <row r="1386" spans="1:14">
      <c r="A1386" s="12" t="s">
        <v>9915</v>
      </c>
      <c r="B1386" s="8">
        <v>787.14007639705198</v>
      </c>
      <c r="C1386" s="12">
        <v>1684.31688500777</v>
      </c>
      <c r="D1386" s="8">
        <v>-1.09747129044494</v>
      </c>
      <c r="E1386" s="12">
        <v>2.3563102591797401E-3</v>
      </c>
      <c r="F1386" s="8" t="s">
        <v>8580</v>
      </c>
      <c r="G1386" s="12" t="s">
        <v>8581</v>
      </c>
      <c r="H1386" s="12">
        <v>1</v>
      </c>
      <c r="I1386" s="13" t="str">
        <f>HYPERLINK("http://www.ncbi.nlm.nih.gov/gene/54993", "54993")</f>
        <v>54993</v>
      </c>
      <c r="J1386" s="12" t="s">
        <v>19419</v>
      </c>
      <c r="K1386" s="12" t="s">
        <v>19420</v>
      </c>
      <c r="L1386" s="13" t="str">
        <f>HYPERLINK("http://asia.ensembl.org/Homo_sapiens/Gene/Summary?g=ENSG00000176371", "ENSG00000176371")</f>
        <v>ENSG00000176371</v>
      </c>
      <c r="M1386" s="12" t="s">
        <v>19421</v>
      </c>
      <c r="N1386" s="12" t="s">
        <v>19422</v>
      </c>
    </row>
    <row r="1387" spans="1:14">
      <c r="A1387" s="12" t="s">
        <v>9184</v>
      </c>
      <c r="B1387" s="8">
        <v>3922.6062941997102</v>
      </c>
      <c r="C1387" s="12">
        <v>8389.85778090846</v>
      </c>
      <c r="D1387" s="8">
        <v>-1.09683381364165</v>
      </c>
      <c r="E1387" s="12">
        <v>9.5163818853024607E-3</v>
      </c>
      <c r="F1387" s="8" t="s">
        <v>8376</v>
      </c>
      <c r="G1387" s="12" t="s">
        <v>8377</v>
      </c>
      <c r="H1387" s="12">
        <v>1</v>
      </c>
      <c r="I1387" s="13" t="str">
        <f>HYPERLINK("http://www.ncbi.nlm.nih.gov/gene/84279", "84279")</f>
        <v>84279</v>
      </c>
      <c r="J1387" s="13" t="str">
        <f>HYPERLINK("http://www.ncbi.nlm.nih.gov/nuccore/NM_032319", "NM_032319")</f>
        <v>NM_032319</v>
      </c>
      <c r="K1387" s="12" t="s">
        <v>8378</v>
      </c>
      <c r="L1387" s="13" t="str">
        <f>HYPERLINK("http://asia.ensembl.org/Homo_sapiens/Gene/Summary?g=ENSG00000135617", "ENSG00000135617")</f>
        <v>ENSG00000135617</v>
      </c>
      <c r="M1387" s="12" t="s">
        <v>19091</v>
      </c>
      <c r="N1387" s="12" t="s">
        <v>8379</v>
      </c>
    </row>
    <row r="1388" spans="1:14">
      <c r="A1388" s="12" t="s">
        <v>3041</v>
      </c>
      <c r="B1388" s="8">
        <v>1903.1493529404099</v>
      </c>
      <c r="C1388" s="12">
        <v>4070.4770177445198</v>
      </c>
      <c r="D1388" s="8">
        <v>-1.0968090892684901</v>
      </c>
      <c r="E1388" s="12">
        <v>6.7945135286070005E-4</v>
      </c>
      <c r="F1388" s="8" t="s">
        <v>3042</v>
      </c>
      <c r="G1388" s="12" t="s">
        <v>3043</v>
      </c>
      <c r="H1388" s="12">
        <v>1</v>
      </c>
      <c r="I1388" s="13" t="str">
        <f>HYPERLINK("http://www.ncbi.nlm.nih.gov/gene/90507", "90507")</f>
        <v>90507</v>
      </c>
      <c r="J1388" s="12" t="s">
        <v>17181</v>
      </c>
      <c r="K1388" s="12" t="s">
        <v>17182</v>
      </c>
      <c r="L1388" s="13" t="str">
        <f>HYPERLINK("http://asia.ensembl.org/Homo_sapiens/Gene/Summary?g=ENSG00000141295", "ENSG00000141295")</f>
        <v>ENSG00000141295</v>
      </c>
      <c r="M1388" s="12" t="s">
        <v>17183</v>
      </c>
      <c r="N1388" s="12" t="s">
        <v>17184</v>
      </c>
    </row>
    <row r="1389" spans="1:14">
      <c r="A1389" s="12" t="s">
        <v>10466</v>
      </c>
      <c r="B1389" s="8">
        <v>71.171798967716995</v>
      </c>
      <c r="C1389" s="12">
        <v>152.20029901572701</v>
      </c>
      <c r="D1389" s="8">
        <v>-1.0965935854960001</v>
      </c>
      <c r="E1389" s="12">
        <v>2.9866574716414102E-2</v>
      </c>
      <c r="F1389" s="8" t="s">
        <v>7769</v>
      </c>
      <c r="G1389" s="12" t="s">
        <v>7770</v>
      </c>
      <c r="H1389" s="12">
        <v>1</v>
      </c>
      <c r="I1389" s="13" t="str">
        <f>HYPERLINK("http://www.ncbi.nlm.nih.gov/gene/728597", "728597")</f>
        <v>728597</v>
      </c>
      <c r="J1389" s="12" t="s">
        <v>19746</v>
      </c>
      <c r="K1389" s="12" t="s">
        <v>19747</v>
      </c>
      <c r="L1389" s="13" t="str">
        <f>HYPERLINK("http://asia.ensembl.org/Homo_sapiens/Gene/Summary?g=ENSG00000214866", "ENSG00000214866")</f>
        <v>ENSG00000214866</v>
      </c>
      <c r="M1389" s="12" t="s">
        <v>19748</v>
      </c>
      <c r="N1389" s="12" t="s">
        <v>19749</v>
      </c>
    </row>
    <row r="1390" spans="1:14">
      <c r="A1390" s="12" t="s">
        <v>7224</v>
      </c>
      <c r="B1390" s="8">
        <v>1139.5404980954299</v>
      </c>
      <c r="C1390" s="12">
        <v>2436.6921182793899</v>
      </c>
      <c r="D1390" s="8">
        <v>-1.0964717772903001</v>
      </c>
      <c r="E1390" s="12">
        <v>6.7511556728268697E-3</v>
      </c>
      <c r="F1390" s="8" t="s">
        <v>7225</v>
      </c>
      <c r="G1390" s="12" t="s">
        <v>7226</v>
      </c>
      <c r="H1390" s="12">
        <v>1</v>
      </c>
      <c r="I1390" s="13" t="str">
        <f>HYPERLINK("http://www.ncbi.nlm.nih.gov/gene/9246", "9246")</f>
        <v>9246</v>
      </c>
      <c r="J1390" s="12" t="s">
        <v>18436</v>
      </c>
      <c r="K1390" s="12" t="s">
        <v>18437</v>
      </c>
      <c r="L1390" s="13" t="str">
        <f>HYPERLINK("http://asia.ensembl.org/Homo_sapiens/Gene/Summary?g=ENSG00000156587", "ENSG00000156587")</f>
        <v>ENSG00000156587</v>
      </c>
      <c r="M1390" s="12" t="s">
        <v>18438</v>
      </c>
      <c r="N1390" s="12" t="s">
        <v>18439</v>
      </c>
    </row>
    <row r="1391" spans="1:14">
      <c r="A1391" s="12" t="s">
        <v>3702</v>
      </c>
      <c r="B1391" s="8">
        <v>217.96297748534701</v>
      </c>
      <c r="C1391" s="12">
        <v>466.05694878571001</v>
      </c>
      <c r="D1391" s="8">
        <v>-1.0964231484311999</v>
      </c>
      <c r="E1391" s="12">
        <v>6.5768604949870101E-3</v>
      </c>
      <c r="F1391" s="8" t="s">
        <v>3703</v>
      </c>
      <c r="G1391" s="12" t="s">
        <v>3704</v>
      </c>
      <c r="H1391" s="12">
        <v>1</v>
      </c>
      <c r="I1391" s="13" t="str">
        <f>HYPERLINK("http://www.ncbi.nlm.nih.gov/gene/27345", "27345")</f>
        <v>27345</v>
      </c>
      <c r="J1391" s="13" t="str">
        <f>HYPERLINK("http://www.ncbi.nlm.nih.gov/nuccore/NM_014505", "NM_014505")</f>
        <v>NM_014505</v>
      </c>
      <c r="K1391" s="12" t="s">
        <v>3705</v>
      </c>
      <c r="L1391" s="13" t="str">
        <f>HYPERLINK("http://asia.ensembl.org/Homo_sapiens/Gene/Summary?g=ENSG00000135643", "ENSG00000135643")</f>
        <v>ENSG00000135643</v>
      </c>
      <c r="M1391" s="12" t="s">
        <v>17381</v>
      </c>
      <c r="N1391" s="12" t="s">
        <v>17382</v>
      </c>
    </row>
    <row r="1392" spans="1:14">
      <c r="A1392" s="12" t="s">
        <v>7490</v>
      </c>
      <c r="B1392" s="8">
        <v>5316.2887538281702</v>
      </c>
      <c r="C1392" s="12">
        <v>11364.199167630701</v>
      </c>
      <c r="D1392" s="8">
        <v>-1.0960046496382101</v>
      </c>
      <c r="E1392" s="12">
        <v>7.6650494187409397E-3</v>
      </c>
      <c r="F1392" s="8" t="s">
        <v>1563</v>
      </c>
      <c r="G1392" s="12" t="s">
        <v>288</v>
      </c>
      <c r="H1392" s="12">
        <v>1</v>
      </c>
      <c r="I1392" s="13" t="str">
        <f>HYPERLINK("http://www.ncbi.nlm.nih.gov/gene/2771", "2771")</f>
        <v>2771</v>
      </c>
      <c r="J1392" s="12" t="s">
        <v>18546</v>
      </c>
      <c r="K1392" s="12" t="s">
        <v>18547</v>
      </c>
      <c r="L1392" s="13" t="str">
        <f>HYPERLINK("http://asia.ensembl.org/Homo_sapiens/Gene/Summary?g=ENSG00000114353", "ENSG00000114353")</f>
        <v>ENSG00000114353</v>
      </c>
      <c r="M1392" s="12" t="s">
        <v>18548</v>
      </c>
      <c r="N1392" s="12" t="s">
        <v>18549</v>
      </c>
    </row>
    <row r="1393" spans="1:14">
      <c r="A1393" s="12" t="s">
        <v>2668</v>
      </c>
      <c r="B1393" s="8">
        <v>4584.9750315432702</v>
      </c>
      <c r="C1393" s="12">
        <v>9797.4538951601608</v>
      </c>
      <c r="D1393" s="8">
        <v>-1.0954930014728701</v>
      </c>
      <c r="E1393" s="12">
        <v>1.9635208555186302E-3</v>
      </c>
      <c r="F1393" s="8" t="s">
        <v>2669</v>
      </c>
      <c r="G1393" s="12" t="s">
        <v>2670</v>
      </c>
      <c r="H1393" s="12">
        <v>1</v>
      </c>
      <c r="I1393" s="13" t="str">
        <f>HYPERLINK("http://www.ncbi.nlm.nih.gov/gene/7385", "7385")</f>
        <v>7385</v>
      </c>
      <c r="J1393" s="13" t="str">
        <f>HYPERLINK("http://www.ncbi.nlm.nih.gov/nuccore/NM_003366", "NM_003366")</f>
        <v>NM_003366</v>
      </c>
      <c r="K1393" s="12" t="s">
        <v>2671</v>
      </c>
      <c r="L1393" s="13" t="str">
        <f>HYPERLINK("http://asia.ensembl.org/Homo_sapiens/Gene/Summary?g=ENSG00000140740", "ENSG00000140740")</f>
        <v>ENSG00000140740</v>
      </c>
      <c r="M1393" s="12" t="s">
        <v>17068</v>
      </c>
      <c r="N1393" s="12" t="s">
        <v>17069</v>
      </c>
    </row>
    <row r="1394" spans="1:14">
      <c r="A1394" s="12" t="s">
        <v>8319</v>
      </c>
      <c r="B1394" s="8">
        <v>63384.323932252402</v>
      </c>
      <c r="C1394" s="12">
        <v>135392.94489799099</v>
      </c>
      <c r="D1394" s="8">
        <v>-1.09495457890852</v>
      </c>
      <c r="E1394" s="12">
        <v>9.4844527765533398E-3</v>
      </c>
      <c r="F1394" s="8" t="s">
        <v>8320</v>
      </c>
      <c r="G1394" s="12" t="s">
        <v>18782</v>
      </c>
      <c r="H1394" s="12">
        <v>1</v>
      </c>
      <c r="I1394" s="13" t="str">
        <f>HYPERLINK("http://www.ncbi.nlm.nih.gov/gene/8655", "8655")</f>
        <v>8655</v>
      </c>
      <c r="J1394" s="12" t="s">
        <v>18783</v>
      </c>
      <c r="K1394" s="12" t="s">
        <v>18784</v>
      </c>
      <c r="L1394" s="13" t="str">
        <f>HYPERLINK("http://asia.ensembl.org/Homo_sapiens/Gene/Summary?g=ENSG00000088986", "ENSG00000088986")</f>
        <v>ENSG00000088986</v>
      </c>
      <c r="M1394" s="12" t="s">
        <v>18785</v>
      </c>
      <c r="N1394" s="12" t="s">
        <v>18786</v>
      </c>
    </row>
    <row r="1395" spans="1:14">
      <c r="A1395" s="12" t="s">
        <v>8276</v>
      </c>
      <c r="B1395" s="8">
        <v>7335.0971531905398</v>
      </c>
      <c r="C1395" s="12">
        <v>15667.1534434936</v>
      </c>
      <c r="D1395" s="8">
        <v>-1.0948551015502599</v>
      </c>
      <c r="E1395" s="12">
        <v>3.8470163440372501E-3</v>
      </c>
      <c r="F1395" s="8" t="s">
        <v>8277</v>
      </c>
      <c r="G1395" s="12" t="s">
        <v>8278</v>
      </c>
      <c r="H1395" s="12">
        <v>1</v>
      </c>
      <c r="I1395" s="13" t="str">
        <f>HYPERLINK("http://www.ncbi.nlm.nih.gov/gene/414919", "414919")</f>
        <v>414919</v>
      </c>
      <c r="J1395" s="13" t="str">
        <f>HYPERLINK("http://www.ncbi.nlm.nih.gov/nuccore/NM_001001795", "NM_001001795")</f>
        <v>NM_001001795</v>
      </c>
      <c r="K1395" s="12" t="s">
        <v>8279</v>
      </c>
      <c r="L1395" s="13" t="str">
        <f>HYPERLINK("http://asia.ensembl.org/Homo_sapiens/Gene/Summary?g=ENSG00000213563", "ENSG00000213563")</f>
        <v>ENSG00000213563</v>
      </c>
      <c r="M1395" s="12" t="s">
        <v>18763</v>
      </c>
      <c r="N1395" s="12" t="s">
        <v>18764</v>
      </c>
    </row>
    <row r="1396" spans="1:14">
      <c r="A1396" s="12" t="s">
        <v>9791</v>
      </c>
      <c r="B1396" s="8">
        <v>98.928710319081006</v>
      </c>
      <c r="C1396" s="12">
        <v>211.300377629434</v>
      </c>
      <c r="D1396" s="8">
        <v>-1.09483417104393</v>
      </c>
      <c r="E1396" s="12">
        <v>5.5621788472968404E-3</v>
      </c>
      <c r="F1396" s="8" t="s">
        <v>9792</v>
      </c>
      <c r="G1396" s="12" t="s">
        <v>9793</v>
      </c>
      <c r="H1396" s="12">
        <v>1</v>
      </c>
      <c r="I1396" s="13" t="str">
        <f>HYPERLINK("http://www.ncbi.nlm.nih.gov/gene/79729", "79729")</f>
        <v>79729</v>
      </c>
      <c r="J1396" s="12" t="s">
        <v>19332</v>
      </c>
      <c r="K1396" s="12" t="s">
        <v>19333</v>
      </c>
      <c r="L1396" s="13" t="str">
        <f>HYPERLINK("http://asia.ensembl.org/Homo_sapiens/Gene/Summary?g=ENSG00000214193", "ENSG00000214193")</f>
        <v>ENSG00000214193</v>
      </c>
      <c r="M1396" s="12" t="s">
        <v>19334</v>
      </c>
      <c r="N1396" s="12" t="s">
        <v>19335</v>
      </c>
    </row>
    <row r="1397" spans="1:14">
      <c r="A1397" s="12" t="s">
        <v>661</v>
      </c>
      <c r="B1397" s="8">
        <v>11640.380691055399</v>
      </c>
      <c r="C1397" s="12">
        <v>24855.281059420198</v>
      </c>
      <c r="D1397" s="8">
        <v>-1.09441417571268</v>
      </c>
      <c r="E1397" s="12">
        <v>6.1033411086457096E-3</v>
      </c>
      <c r="F1397" s="8" t="s">
        <v>662</v>
      </c>
      <c r="G1397" s="12" t="s">
        <v>663</v>
      </c>
      <c r="H1397" s="12">
        <v>1</v>
      </c>
      <c r="I1397" s="13" t="str">
        <f>HYPERLINK("http://www.ncbi.nlm.nih.gov/gene/79042", "79042")</f>
        <v>79042</v>
      </c>
      <c r="J1397" s="12" t="s">
        <v>16407</v>
      </c>
      <c r="K1397" s="12" t="s">
        <v>16408</v>
      </c>
      <c r="L1397" s="13" t="str">
        <f>HYPERLINK("http://asia.ensembl.org/Homo_sapiens/Gene/Summary?g=ENSG00000170892", "ENSG00000170892")</f>
        <v>ENSG00000170892</v>
      </c>
      <c r="M1397" s="12" t="s">
        <v>16409</v>
      </c>
      <c r="N1397" s="12" t="s">
        <v>16410</v>
      </c>
    </row>
    <row r="1398" spans="1:14">
      <c r="A1398" s="12" t="s">
        <v>10033</v>
      </c>
      <c r="B1398" s="8">
        <v>3071.1320372986102</v>
      </c>
      <c r="C1398" s="12">
        <v>6556.0219297914</v>
      </c>
      <c r="D1398" s="8">
        <v>-1.09405014074699</v>
      </c>
      <c r="E1398" s="12">
        <v>1.4674155559652E-2</v>
      </c>
      <c r="F1398" s="8" t="s">
        <v>10034</v>
      </c>
      <c r="G1398" s="12" t="s">
        <v>10035</v>
      </c>
      <c r="H1398" s="12">
        <v>1</v>
      </c>
      <c r="I1398" s="13" t="str">
        <f>HYPERLINK("http://www.ncbi.nlm.nih.gov/gene/3201", "3201")</f>
        <v>3201</v>
      </c>
      <c r="J1398" s="13" t="str">
        <f>HYPERLINK("http://www.ncbi.nlm.nih.gov/nuccore/NM_002141", "NM_002141")</f>
        <v>NM_002141</v>
      </c>
      <c r="K1398" s="12" t="s">
        <v>10036</v>
      </c>
      <c r="L1398" s="13" t="str">
        <f>HYPERLINK("http://asia.ensembl.org/Homo_sapiens/Gene/Summary?g=ENSG00000197576", "ENSG00000197576")</f>
        <v>ENSG00000197576</v>
      </c>
      <c r="M1398" s="12" t="s">
        <v>19515</v>
      </c>
      <c r="N1398" s="12" t="s">
        <v>19516</v>
      </c>
    </row>
    <row r="1399" spans="1:14">
      <c r="A1399" s="12" t="s">
        <v>10380</v>
      </c>
      <c r="B1399" s="8">
        <v>50</v>
      </c>
      <c r="C1399" s="12">
        <v>106.71681282037601</v>
      </c>
      <c r="D1399" s="8">
        <v>-1.09378748508246</v>
      </c>
      <c r="E1399" s="12">
        <v>2.2849808764536199E-4</v>
      </c>
      <c r="F1399" s="8" t="s">
        <v>9974</v>
      </c>
      <c r="G1399" s="12" t="s">
        <v>9975</v>
      </c>
      <c r="H1399" s="12">
        <v>1</v>
      </c>
      <c r="I1399" s="13" t="str">
        <f>HYPERLINK("http://www.ncbi.nlm.nih.gov/gene/440073", "440073")</f>
        <v>440073</v>
      </c>
      <c r="J1399" s="13" t="str">
        <f>HYPERLINK("http://www.ncbi.nlm.nih.gov/nuccore/NM_001170738", "NM_001170738")</f>
        <v>NM_001170738</v>
      </c>
      <c r="K1399" s="12" t="s">
        <v>10381</v>
      </c>
      <c r="L1399" s="13" t="str">
        <f>HYPERLINK("http://asia.ensembl.org/Homo_sapiens/Gene/Summary?g=ENSG00000262607", "ENSG00000262607")</f>
        <v>ENSG00000262607</v>
      </c>
      <c r="M1399" s="12" t="s">
        <v>19707</v>
      </c>
      <c r="N1399" s="12" t="s">
        <v>19708</v>
      </c>
    </row>
    <row r="1400" spans="1:14">
      <c r="A1400" s="12" t="s">
        <v>9722</v>
      </c>
      <c r="B1400" s="8">
        <v>4662.3269203138398</v>
      </c>
      <c r="C1400" s="12">
        <v>9950.92226298065</v>
      </c>
      <c r="D1400" s="8">
        <v>-1.09378007334173</v>
      </c>
      <c r="E1400" s="12">
        <v>8.1286897220324804E-3</v>
      </c>
      <c r="F1400" s="8" t="s">
        <v>9723</v>
      </c>
      <c r="G1400" s="12" t="s">
        <v>9724</v>
      </c>
      <c r="H1400" s="12">
        <v>1</v>
      </c>
      <c r="I1400" s="13" t="str">
        <f>HYPERLINK("http://www.ncbi.nlm.nih.gov/gene/6133", "6133")</f>
        <v>6133</v>
      </c>
      <c r="J1400" s="13" t="str">
        <f>HYPERLINK("http://www.ncbi.nlm.nih.gov/nuccore/NM_001024921", "NM_001024921")</f>
        <v>NM_001024921</v>
      </c>
      <c r="K1400" s="12" t="s">
        <v>9725</v>
      </c>
      <c r="L1400" s="13" t="str">
        <f>HYPERLINK("http://asia.ensembl.org/Homo_sapiens/Gene/Summary?g=ENSG00000163682", "ENSG00000163682")</f>
        <v>ENSG00000163682</v>
      </c>
      <c r="M1400" s="12" t="s">
        <v>19279</v>
      </c>
      <c r="N1400" s="12" t="s">
        <v>19280</v>
      </c>
    </row>
    <row r="1401" spans="1:14">
      <c r="A1401" s="12" t="s">
        <v>10203</v>
      </c>
      <c r="B1401" s="8">
        <v>4483.1600609596198</v>
      </c>
      <c r="C1401" s="12">
        <v>9561.1939959552092</v>
      </c>
      <c r="D1401" s="8">
        <v>-1.09267478388551</v>
      </c>
      <c r="E1401" s="12">
        <v>2.27761075610809E-3</v>
      </c>
      <c r="F1401" s="8" t="s">
        <v>9767</v>
      </c>
      <c r="G1401" s="12" t="s">
        <v>9768</v>
      </c>
      <c r="H1401" s="12">
        <v>1</v>
      </c>
      <c r="I1401" s="13" t="str">
        <f>HYPERLINK("http://www.ncbi.nlm.nih.gov/gene/54059", "54059")</f>
        <v>54059</v>
      </c>
      <c r="J1401" s="12" t="s">
        <v>19587</v>
      </c>
      <c r="K1401" s="12" t="s">
        <v>19588</v>
      </c>
      <c r="L1401" s="13" t="str">
        <f>HYPERLINK("http://asia.ensembl.org/Homo_sapiens/Gene/Summary?g=ENSG00000182362", "ENSG00000182362")</f>
        <v>ENSG00000182362</v>
      </c>
      <c r="M1401" s="12" t="s">
        <v>19589</v>
      </c>
      <c r="N1401" s="12" t="s">
        <v>19590</v>
      </c>
    </row>
    <row r="1402" spans="1:14">
      <c r="A1402" s="12" t="s">
        <v>11300</v>
      </c>
      <c r="B1402" s="8">
        <v>36265.784990797103</v>
      </c>
      <c r="C1402" s="12">
        <v>77334.905727075005</v>
      </c>
      <c r="D1402" s="8">
        <v>-1.09251065598326</v>
      </c>
      <c r="E1402" s="12">
        <v>6.2487709637978599E-3</v>
      </c>
      <c r="F1402" s="8" t="s">
        <v>11027</v>
      </c>
      <c r="G1402" s="12" t="s">
        <v>11028</v>
      </c>
      <c r="H1402" s="12">
        <v>1</v>
      </c>
      <c r="I1402" s="13" t="str">
        <f>HYPERLINK("http://www.ncbi.nlm.nih.gov/gene/51374", "51374")</f>
        <v>51374</v>
      </c>
      <c r="J1402" s="12" t="s">
        <v>20040</v>
      </c>
      <c r="K1402" s="12" t="s">
        <v>20041</v>
      </c>
      <c r="L1402" s="13" t="str">
        <f>HYPERLINK("http://asia.ensembl.org/Homo_sapiens/Gene/Summary?g=ENSG00000138085", "ENSG00000138085")</f>
        <v>ENSG00000138085</v>
      </c>
      <c r="M1402" s="12" t="s">
        <v>20042</v>
      </c>
      <c r="N1402" s="12" t="s">
        <v>20043</v>
      </c>
    </row>
    <row r="1403" spans="1:14">
      <c r="A1403" s="12" t="s">
        <v>6032</v>
      </c>
      <c r="B1403" s="8">
        <v>6924.5981517605696</v>
      </c>
      <c r="C1403" s="12">
        <v>14763.9439284815</v>
      </c>
      <c r="D1403" s="8">
        <v>-1.0922759073069299</v>
      </c>
      <c r="E1403" s="12">
        <v>6.0989752782118099E-3</v>
      </c>
      <c r="F1403" s="8" t="s">
        <v>6033</v>
      </c>
      <c r="G1403" s="12" t="s">
        <v>6034</v>
      </c>
      <c r="H1403" s="12">
        <v>1</v>
      </c>
      <c r="I1403" s="13" t="str">
        <f>HYPERLINK("http://www.ncbi.nlm.nih.gov/gene/9212", "9212")</f>
        <v>9212</v>
      </c>
      <c r="J1403" s="12" t="s">
        <v>18037</v>
      </c>
      <c r="K1403" s="12" t="s">
        <v>18038</v>
      </c>
      <c r="L1403" s="13" t="str">
        <f>HYPERLINK("http://asia.ensembl.org/Homo_sapiens/Gene/Summary?g=ENSG00000178999", "ENSG00000178999")</f>
        <v>ENSG00000178999</v>
      </c>
      <c r="M1403" s="12" t="s">
        <v>18039</v>
      </c>
      <c r="N1403" s="12" t="s">
        <v>18040</v>
      </c>
    </row>
    <row r="1404" spans="1:14">
      <c r="A1404" s="12" t="s">
        <v>583</v>
      </c>
      <c r="B1404" s="8">
        <v>6910.6268853852698</v>
      </c>
      <c r="C1404" s="12">
        <v>14728.4106516804</v>
      </c>
      <c r="D1404" s="8">
        <v>-1.0917132637996401</v>
      </c>
      <c r="E1404" s="12">
        <v>2.6531710432829399E-3</v>
      </c>
      <c r="F1404" s="8" t="s">
        <v>584</v>
      </c>
      <c r="G1404" s="12" t="s">
        <v>585</v>
      </c>
      <c r="H1404" s="12">
        <v>1</v>
      </c>
      <c r="I1404" s="13" t="str">
        <f>HYPERLINK("http://www.ncbi.nlm.nih.gov/gene/27243", "27243")</f>
        <v>27243</v>
      </c>
      <c r="J1404" s="12" t="s">
        <v>16387</v>
      </c>
      <c r="K1404" s="12" t="s">
        <v>16388</v>
      </c>
      <c r="L1404" s="13" t="str">
        <f>HYPERLINK("http://asia.ensembl.org/Homo_sapiens/Gene/Summary?g=ENSG00000130724", "ENSG00000130724")</f>
        <v>ENSG00000130724</v>
      </c>
      <c r="M1404" s="12" t="s">
        <v>16389</v>
      </c>
      <c r="N1404" s="12" t="s">
        <v>16390</v>
      </c>
    </row>
    <row r="1405" spans="1:14">
      <c r="A1405" s="12" t="s">
        <v>7187</v>
      </c>
      <c r="B1405" s="8">
        <v>900.05776816510604</v>
      </c>
      <c r="C1405" s="12">
        <v>1918.14134430526</v>
      </c>
      <c r="D1405" s="8">
        <v>-1.0916195281818299</v>
      </c>
      <c r="E1405" s="12">
        <v>6.5611582838748699E-3</v>
      </c>
      <c r="F1405" s="8" t="s">
        <v>7188</v>
      </c>
      <c r="G1405" s="12" t="s">
        <v>18406</v>
      </c>
      <c r="H1405" s="12">
        <v>1</v>
      </c>
      <c r="I1405" s="13" t="str">
        <f>HYPERLINK("http://www.ncbi.nlm.nih.gov/gene/8331", "8331")</f>
        <v>8331</v>
      </c>
      <c r="J1405" s="13" t="str">
        <f>HYPERLINK("http://www.ncbi.nlm.nih.gov/nuccore/NM_021066", "NM_021066")</f>
        <v>NM_021066</v>
      </c>
      <c r="K1405" s="12" t="s">
        <v>7189</v>
      </c>
      <c r="L1405" s="13" t="str">
        <f>HYPERLINK("http://asia.ensembl.org/Homo_sapiens/Gene/Summary?g=ENSG00000276368", "ENSG00000276368")</f>
        <v>ENSG00000276368</v>
      </c>
      <c r="M1405" s="12" t="s">
        <v>7190</v>
      </c>
      <c r="N1405" s="12" t="s">
        <v>7191</v>
      </c>
    </row>
    <row r="1406" spans="1:14">
      <c r="A1406" s="12" t="s">
        <v>3991</v>
      </c>
      <c r="B1406" s="8">
        <v>7903.6282867600203</v>
      </c>
      <c r="C1406" s="12">
        <v>16840.1221153886</v>
      </c>
      <c r="D1406" s="8">
        <v>-1.0913155974200399</v>
      </c>
      <c r="E1406" s="12">
        <v>1.74295943888483E-2</v>
      </c>
      <c r="F1406" s="8" t="s">
        <v>3992</v>
      </c>
      <c r="G1406" s="12" t="s">
        <v>3993</v>
      </c>
      <c r="H1406" s="12">
        <v>1</v>
      </c>
      <c r="I1406" s="13" t="str">
        <f>HYPERLINK("http://www.ncbi.nlm.nih.gov/gene/54460", "54460")</f>
        <v>54460</v>
      </c>
      <c r="J1406" s="13" t="str">
        <f>HYPERLINK("http://www.ncbi.nlm.nih.gov/nuccore/NM_018997", "NM_018997")</f>
        <v>NM_018997</v>
      </c>
      <c r="K1406" s="12" t="s">
        <v>3994</v>
      </c>
      <c r="L1406" s="13" t="str">
        <f>HYPERLINK("http://asia.ensembl.org/Homo_sapiens/Gene/Summary?g=ENSG00000266472", "ENSG00000266472")</f>
        <v>ENSG00000266472</v>
      </c>
      <c r="M1406" s="12" t="s">
        <v>17509</v>
      </c>
      <c r="N1406" s="12" t="s">
        <v>17510</v>
      </c>
    </row>
    <row r="1407" spans="1:14">
      <c r="A1407" s="12" t="s">
        <v>1229</v>
      </c>
      <c r="B1407" s="8">
        <v>49.999999999999901</v>
      </c>
      <c r="C1407" s="12">
        <v>106.533769736332</v>
      </c>
      <c r="D1407" s="8">
        <v>-1.09131081738659</v>
      </c>
      <c r="E1407" s="12">
        <v>2.3488745671495701E-2</v>
      </c>
      <c r="F1407" s="8" t="s">
        <v>1230</v>
      </c>
      <c r="G1407" s="12" t="s">
        <v>16550</v>
      </c>
      <c r="H1407" s="12">
        <v>1</v>
      </c>
      <c r="I1407" s="13" t="str">
        <f>HYPERLINK("http://www.ncbi.nlm.nih.gov/gene/10690", "10690")</f>
        <v>10690</v>
      </c>
      <c r="J1407" s="13" t="str">
        <f>HYPERLINK("http://www.ncbi.nlm.nih.gov/nuccore/NM_006581", "NM_006581")</f>
        <v>NM_006581</v>
      </c>
      <c r="K1407" s="12" t="s">
        <v>1231</v>
      </c>
      <c r="L1407" s="13" t="str">
        <f>HYPERLINK("http://asia.ensembl.org/Homo_sapiens/Gene/Summary?g=ENSG00000172461", "ENSG00000172461")</f>
        <v>ENSG00000172461</v>
      </c>
      <c r="M1407" s="12" t="s">
        <v>16551</v>
      </c>
      <c r="N1407" s="12" t="s">
        <v>1232</v>
      </c>
    </row>
    <row r="1408" spans="1:14">
      <c r="A1408" s="12" t="s">
        <v>424</v>
      </c>
      <c r="B1408" s="8">
        <v>1298.30582047439</v>
      </c>
      <c r="C1408" s="12">
        <v>2765.1466349043098</v>
      </c>
      <c r="D1408" s="8">
        <v>-1.09072573295025</v>
      </c>
      <c r="E1408" s="12">
        <v>3.5164542522790102E-3</v>
      </c>
      <c r="F1408" s="8" t="s">
        <v>425</v>
      </c>
      <c r="G1408" s="12" t="s">
        <v>426</v>
      </c>
      <c r="H1408" s="12">
        <v>1</v>
      </c>
      <c r="I1408" s="13" t="str">
        <f>HYPERLINK("http://www.ncbi.nlm.nih.gov/gene/128434", "128434")</f>
        <v>128434</v>
      </c>
      <c r="J1408" s="13" t="str">
        <f>HYPERLINK("http://www.ncbi.nlm.nih.gov/nuccore/NM_080607", "NM_080607")</f>
        <v>NM_080607</v>
      </c>
      <c r="K1408" s="12" t="s">
        <v>427</v>
      </c>
      <c r="L1408" s="13" t="str">
        <f>HYPERLINK("http://asia.ensembl.org/Homo_sapiens/Gene/Summary?g=ENSG00000132821", "ENSG00000132821")</f>
        <v>ENSG00000132821</v>
      </c>
      <c r="M1408" s="12" t="s">
        <v>16325</v>
      </c>
      <c r="N1408" s="12" t="s">
        <v>16326</v>
      </c>
    </row>
    <row r="1409" spans="1:14">
      <c r="A1409" s="12" t="s">
        <v>9980</v>
      </c>
      <c r="B1409" s="8">
        <v>192.41693820405601</v>
      </c>
      <c r="C1409" s="12">
        <v>409.77720959394202</v>
      </c>
      <c r="D1409" s="8">
        <v>-1.0906039456189001</v>
      </c>
      <c r="E1409" s="12">
        <v>1.8128735990777699E-2</v>
      </c>
      <c r="F1409" s="8" t="s">
        <v>9981</v>
      </c>
      <c r="G1409" s="12" t="s">
        <v>9982</v>
      </c>
      <c r="H1409" s="12">
        <v>1</v>
      </c>
      <c r="I1409" s="13" t="str">
        <f>HYPERLINK("http://www.ncbi.nlm.nih.gov/gene/353500", "353500")</f>
        <v>353500</v>
      </c>
      <c r="J1409" s="13" t="str">
        <f>HYPERLINK("http://www.ncbi.nlm.nih.gov/nuccore/NM_181809", "NM_181809")</f>
        <v>NM_181809</v>
      </c>
      <c r="K1409" s="12" t="s">
        <v>9983</v>
      </c>
      <c r="L1409" s="13" t="str">
        <f>HYPERLINK("http://asia.ensembl.org/Homo_sapiens/Gene/Summary?g=ENSG00000183682", "ENSG00000183682")</f>
        <v>ENSG00000183682</v>
      </c>
      <c r="M1409" s="12" t="s">
        <v>9984</v>
      </c>
      <c r="N1409" s="12" t="s">
        <v>9985</v>
      </c>
    </row>
    <row r="1410" spans="1:14">
      <c r="A1410" s="12" t="s">
        <v>10726</v>
      </c>
      <c r="B1410" s="8">
        <v>321.71621660653699</v>
      </c>
      <c r="C1410" s="12">
        <v>685.06021453073799</v>
      </c>
      <c r="D1410" s="8">
        <v>-1.0904421426645901</v>
      </c>
      <c r="E1410" s="12">
        <v>3.4565959791615199E-3</v>
      </c>
      <c r="F1410" s="8" t="s">
        <v>4714</v>
      </c>
      <c r="G1410" s="12" t="s">
        <v>19840</v>
      </c>
      <c r="H1410" s="12">
        <v>1</v>
      </c>
      <c r="I1410" s="13" t="str">
        <f>HYPERLINK("http://www.ncbi.nlm.nih.gov/gene/5581", "5581")</f>
        <v>5581</v>
      </c>
      <c r="J1410" s="13" t="str">
        <f>HYPERLINK("http://www.ncbi.nlm.nih.gov/nuccore/NM_005400", "NM_005400")</f>
        <v>NM_005400</v>
      </c>
      <c r="K1410" s="12" t="s">
        <v>4715</v>
      </c>
      <c r="L1410" s="13" t="str">
        <f>HYPERLINK("http://asia.ensembl.org/Homo_sapiens/Gene/Summary?g=ENSG00000171132", "ENSG00000171132")</f>
        <v>ENSG00000171132</v>
      </c>
      <c r="M1410" s="12" t="s">
        <v>19841</v>
      </c>
      <c r="N1410" s="12" t="s">
        <v>19842</v>
      </c>
    </row>
    <row r="1411" spans="1:14">
      <c r="A1411" s="12" t="s">
        <v>10410</v>
      </c>
      <c r="B1411" s="8">
        <v>141.98663112222499</v>
      </c>
      <c r="C1411" s="12">
        <v>302.34191681626902</v>
      </c>
      <c r="D1411" s="8">
        <v>-1.0904259108193699</v>
      </c>
      <c r="E1411" s="12">
        <v>9.2490538865339401E-3</v>
      </c>
      <c r="F1411" s="8" t="s">
        <v>10411</v>
      </c>
      <c r="G1411" s="12" t="s">
        <v>19729</v>
      </c>
      <c r="H1411" s="12">
        <v>1</v>
      </c>
      <c r="I1411" s="13" t="str">
        <f>HYPERLINK("http://www.ncbi.nlm.nih.gov/gene/100132916", "100132916")</f>
        <v>100132916</v>
      </c>
      <c r="J1411" s="13" t="str">
        <f>HYPERLINK("http://www.ncbi.nlm.nih.gov/nuccore/NM_001164442", "NM_001164442")</f>
        <v>NM_001164442</v>
      </c>
      <c r="K1411" s="12" t="s">
        <v>10412</v>
      </c>
      <c r="L1411" s="13" t="str">
        <f>HYPERLINK("http://asia.ensembl.org/Homo_sapiens/Gene/Summary?g=ENSG00000145642", "ENSG00000145642")</f>
        <v>ENSG00000145642</v>
      </c>
      <c r="M1411" s="12" t="s">
        <v>19730</v>
      </c>
      <c r="N1411" s="12" t="s">
        <v>19731</v>
      </c>
    </row>
    <row r="1412" spans="1:14">
      <c r="A1412" s="12" t="s">
        <v>7417</v>
      </c>
      <c r="B1412" s="8">
        <v>4998.7573796371098</v>
      </c>
      <c r="C1412" s="12">
        <v>10644.067217133799</v>
      </c>
      <c r="D1412" s="8">
        <v>-1.0904081151081999</v>
      </c>
      <c r="E1412" s="12">
        <v>2.4245319099192801E-4</v>
      </c>
      <c r="F1412" s="8" t="s">
        <v>718</v>
      </c>
      <c r="G1412" s="12" t="s">
        <v>719</v>
      </c>
      <c r="H1412" s="12">
        <v>1</v>
      </c>
      <c r="I1412" s="13" t="str">
        <f>HYPERLINK("http://www.ncbi.nlm.nih.gov/gene/29088", "29088")</f>
        <v>29088</v>
      </c>
      <c r="J1412" s="13" t="str">
        <f>HYPERLINK("http://www.ncbi.nlm.nih.gov/nuccore/NM_014175", "NM_014175")</f>
        <v>NM_014175</v>
      </c>
      <c r="K1412" s="12" t="s">
        <v>720</v>
      </c>
      <c r="L1412" s="13" t="str">
        <f>HYPERLINK("http://asia.ensembl.org/Homo_sapiens/Gene/Summary?g=ENSG00000137547", "ENSG00000137547")</f>
        <v>ENSG00000137547</v>
      </c>
      <c r="M1412" s="12" t="s">
        <v>18518</v>
      </c>
      <c r="N1412" s="12" t="s">
        <v>18519</v>
      </c>
    </row>
    <row r="1413" spans="1:14">
      <c r="A1413" s="12" t="s">
        <v>7831</v>
      </c>
      <c r="B1413" s="8">
        <v>1760.2341554706099</v>
      </c>
      <c r="C1413" s="12">
        <v>3748.1416006415702</v>
      </c>
      <c r="D1413" s="8">
        <v>-1.0904081010484199</v>
      </c>
      <c r="E1413" s="12">
        <v>1.40199836614692E-2</v>
      </c>
      <c r="F1413" s="8" t="s">
        <v>7832</v>
      </c>
      <c r="G1413" s="12" t="s">
        <v>7833</v>
      </c>
      <c r="H1413" s="12">
        <v>4</v>
      </c>
      <c r="I1413" s="12" t="s">
        <v>7834</v>
      </c>
      <c r="J1413" s="12" t="s">
        <v>7835</v>
      </c>
      <c r="K1413" s="12" t="s">
        <v>7836</v>
      </c>
      <c r="L1413" s="13" t="str">
        <f>HYPERLINK("http://asia.ensembl.org/Homo_sapiens/Gene/Summary?g=ENSG00000140988", "ENSG00000140988")</f>
        <v>ENSG00000140988</v>
      </c>
      <c r="M1413" s="12" t="s">
        <v>18649</v>
      </c>
      <c r="N1413" s="12" t="s">
        <v>18650</v>
      </c>
    </row>
    <row r="1414" spans="1:14">
      <c r="A1414" s="12" t="s">
        <v>7471</v>
      </c>
      <c r="B1414" s="8">
        <v>4051.2753669571398</v>
      </c>
      <c r="C1414" s="12">
        <v>8621.1506652745502</v>
      </c>
      <c r="D1414" s="8">
        <v>-1.08950428975279</v>
      </c>
      <c r="E1414" s="12">
        <v>7.9687782616494496E-3</v>
      </c>
      <c r="F1414" s="8" t="s">
        <v>1290</v>
      </c>
      <c r="G1414" s="12" t="s">
        <v>1291</v>
      </c>
      <c r="H1414" s="12">
        <v>1</v>
      </c>
      <c r="I1414" s="13" t="str">
        <f>HYPERLINK("http://www.ncbi.nlm.nih.gov/gene/140606", "140606")</f>
        <v>140606</v>
      </c>
      <c r="J1414" s="13" t="str">
        <f>HYPERLINK("http://www.ncbi.nlm.nih.gov/nuccore/NM_080430", "NM_080430")</f>
        <v>NM_080430</v>
      </c>
      <c r="K1414" s="12" t="s">
        <v>1292</v>
      </c>
      <c r="L1414" s="13" t="str">
        <f>HYPERLINK("http://asia.ensembl.org/Homo_sapiens/Gene/Summary?g=ENSG00000198832", "ENSG00000198832")</f>
        <v>ENSG00000198832</v>
      </c>
      <c r="M1414" s="12" t="s">
        <v>16566</v>
      </c>
      <c r="N1414" s="12" t="s">
        <v>16567</v>
      </c>
    </row>
    <row r="1415" spans="1:14">
      <c r="A1415" s="12" t="s">
        <v>9619</v>
      </c>
      <c r="B1415" s="8">
        <v>26454.1875018801</v>
      </c>
      <c r="C1415" s="12">
        <v>56270.349111177798</v>
      </c>
      <c r="D1415" s="8">
        <v>-1.0888788058063099</v>
      </c>
      <c r="E1415" s="12">
        <v>7.5224504930042797E-3</v>
      </c>
      <c r="F1415" s="8" t="s">
        <v>9620</v>
      </c>
      <c r="G1415" s="12" t="s">
        <v>19230</v>
      </c>
      <c r="H1415" s="12">
        <v>1</v>
      </c>
      <c r="I1415" s="13" t="str">
        <f>HYPERLINK("http://www.ncbi.nlm.nih.gov/gene/5315", "5315")</f>
        <v>5315</v>
      </c>
      <c r="J1415" s="12" t="s">
        <v>19231</v>
      </c>
      <c r="K1415" s="12" t="s">
        <v>19232</v>
      </c>
      <c r="L1415" s="13" t="str">
        <f>HYPERLINK("http://asia.ensembl.org/Homo_sapiens/Gene/Summary?g=ENSG00000067225", "ENSG00000067225")</f>
        <v>ENSG00000067225</v>
      </c>
      <c r="M1415" s="12" t="s">
        <v>19233</v>
      </c>
      <c r="N1415" s="12" t="s">
        <v>19234</v>
      </c>
    </row>
    <row r="1416" spans="1:14">
      <c r="A1416" s="12" t="s">
        <v>3910</v>
      </c>
      <c r="B1416" s="8">
        <v>10111.0586358602</v>
      </c>
      <c r="C1416" s="12">
        <v>21503.1450040241</v>
      </c>
      <c r="D1416" s="8">
        <v>-1.0886136242753499</v>
      </c>
      <c r="E1416" s="12">
        <v>2.06406245929408E-3</v>
      </c>
      <c r="F1416" s="8" t="s">
        <v>3911</v>
      </c>
      <c r="G1416" s="12" t="s">
        <v>3912</v>
      </c>
      <c r="H1416" s="12">
        <v>1</v>
      </c>
      <c r="I1416" s="13" t="str">
        <f>HYPERLINK("http://www.ncbi.nlm.nih.gov/gene/8896", "8896")</f>
        <v>8896</v>
      </c>
      <c r="J1416" s="13" t="str">
        <f>HYPERLINK("http://www.ncbi.nlm.nih.gov/nuccore/NM_003910", "NM_003910")</f>
        <v>NM_003910</v>
      </c>
      <c r="K1416" s="12" t="s">
        <v>3913</v>
      </c>
      <c r="L1416" s="13" t="str">
        <f>HYPERLINK("http://asia.ensembl.org/Homo_sapiens/Gene/Summary?g=ENSG00000106245", "ENSG00000106245")</f>
        <v>ENSG00000106245</v>
      </c>
      <c r="M1416" s="12" t="s">
        <v>17474</v>
      </c>
      <c r="N1416" s="12" t="s">
        <v>17475</v>
      </c>
    </row>
    <row r="1417" spans="1:14">
      <c r="A1417" s="12" t="s">
        <v>6420</v>
      </c>
      <c r="B1417" s="8">
        <v>2910.5274208607002</v>
      </c>
      <c r="C1417" s="12">
        <v>6187.7462034288601</v>
      </c>
      <c r="D1417" s="8">
        <v>-1.08813341475958</v>
      </c>
      <c r="E1417" s="12">
        <v>1.3125735502283399E-3</v>
      </c>
      <c r="F1417" s="8" t="s">
        <v>6421</v>
      </c>
      <c r="G1417" s="12" t="s">
        <v>6422</v>
      </c>
      <c r="H1417" s="12">
        <v>1</v>
      </c>
      <c r="I1417" s="13" t="str">
        <f>HYPERLINK("http://www.ncbi.nlm.nih.gov/gene/7384", "7384")</f>
        <v>7384</v>
      </c>
      <c r="J1417" s="13" t="str">
        <f>HYPERLINK("http://www.ncbi.nlm.nih.gov/nuccore/NM_003365", "NM_003365")</f>
        <v>NM_003365</v>
      </c>
      <c r="K1417" s="12" t="s">
        <v>6423</v>
      </c>
      <c r="L1417" s="13" t="str">
        <f>HYPERLINK("http://asia.ensembl.org/Homo_sapiens/Gene/Summary?g=ENSG00000010256", "ENSG00000010256")</f>
        <v>ENSG00000010256</v>
      </c>
      <c r="M1417" s="12" t="s">
        <v>18162</v>
      </c>
      <c r="N1417" s="12" t="s">
        <v>18163</v>
      </c>
    </row>
    <row r="1418" spans="1:14">
      <c r="A1418" s="12" t="s">
        <v>9177</v>
      </c>
      <c r="B1418" s="8">
        <v>5365.6294753060602</v>
      </c>
      <c r="C1418" s="12">
        <v>11405.035715841899</v>
      </c>
      <c r="D1418" s="8">
        <v>-1.0878516270443199</v>
      </c>
      <c r="E1418" s="12">
        <v>1.6179228455477899E-3</v>
      </c>
      <c r="F1418" s="8" t="s">
        <v>9178</v>
      </c>
      <c r="G1418" s="12" t="s">
        <v>9179</v>
      </c>
      <c r="H1418" s="12">
        <v>1</v>
      </c>
      <c r="I1418" s="13" t="str">
        <f>HYPERLINK("http://www.ncbi.nlm.nih.gov/gene/26519", "26519")</f>
        <v>26519</v>
      </c>
      <c r="J1418" s="13" t="str">
        <f>HYPERLINK("http://www.ncbi.nlm.nih.gov/nuccore/NM_012456", "NM_012456")</f>
        <v>NM_012456</v>
      </c>
      <c r="K1418" s="12" t="s">
        <v>9180</v>
      </c>
      <c r="L1418" s="13" t="str">
        <f>HYPERLINK("http://asia.ensembl.org/Homo_sapiens/Gene/Summary?g=ENSG00000134809", "ENSG00000134809")</f>
        <v>ENSG00000134809</v>
      </c>
      <c r="M1418" s="12" t="s">
        <v>19089</v>
      </c>
      <c r="N1418" s="12" t="s">
        <v>19090</v>
      </c>
    </row>
    <row r="1419" spans="1:14">
      <c r="A1419" s="12" t="s">
        <v>10569</v>
      </c>
      <c r="B1419" s="8">
        <v>1192.5351754675801</v>
      </c>
      <c r="C1419" s="12">
        <v>2533.8956466865502</v>
      </c>
      <c r="D1419" s="8">
        <v>-1.0873252901196599</v>
      </c>
      <c r="E1419" s="12">
        <v>1.41857841927413E-2</v>
      </c>
      <c r="F1419" s="8" t="s">
        <v>5867</v>
      </c>
      <c r="G1419" s="12" t="s">
        <v>5868</v>
      </c>
      <c r="H1419" s="12">
        <v>1</v>
      </c>
      <c r="I1419" s="13" t="str">
        <f>HYPERLINK("http://www.ncbi.nlm.nih.gov/gene/84662", "84662")</f>
        <v>84662</v>
      </c>
      <c r="J1419" s="13" t="str">
        <f>HYPERLINK("http://www.ncbi.nlm.nih.gov/nuccore/NM_032575", "NM_032575")</f>
        <v>NM_032575</v>
      </c>
      <c r="K1419" s="12" t="s">
        <v>5869</v>
      </c>
      <c r="L1419" s="13" t="str">
        <f>HYPERLINK("http://asia.ensembl.org/Homo_sapiens/Gene/Summary?g=ENSG00000274636", "ENSG00000274636")</f>
        <v>ENSG00000274636</v>
      </c>
      <c r="M1419" s="12" t="s">
        <v>19779</v>
      </c>
      <c r="N1419" s="12" t="s">
        <v>19780</v>
      </c>
    </row>
    <row r="1420" spans="1:14">
      <c r="A1420" s="12" t="s">
        <v>1484</v>
      </c>
      <c r="B1420" s="8">
        <v>4897.5783771192901</v>
      </c>
      <c r="C1420" s="12">
        <v>10406.0678394151</v>
      </c>
      <c r="D1420" s="8">
        <v>-1.0872845321156701</v>
      </c>
      <c r="E1420" s="12">
        <v>9.6849817292941603E-3</v>
      </c>
      <c r="F1420" s="8" t="s">
        <v>1485</v>
      </c>
      <c r="G1420" s="12" t="s">
        <v>16642</v>
      </c>
      <c r="H1420" s="12">
        <v>1</v>
      </c>
      <c r="I1420" s="13" t="str">
        <f>HYPERLINK("http://www.ncbi.nlm.nih.gov/gene/6484", "6484")</f>
        <v>6484</v>
      </c>
      <c r="J1420" s="12" t="s">
        <v>16643</v>
      </c>
      <c r="K1420" s="12" t="s">
        <v>16644</v>
      </c>
      <c r="L1420" s="13" t="str">
        <f>HYPERLINK("http://asia.ensembl.org/Homo_sapiens/Gene/Summary?g=ENSG00000110080", "ENSG00000110080")</f>
        <v>ENSG00000110080</v>
      </c>
      <c r="M1420" s="12" t="s">
        <v>16645</v>
      </c>
      <c r="N1420" s="12" t="s">
        <v>16646</v>
      </c>
    </row>
    <row r="1421" spans="1:14">
      <c r="A1421" s="12" t="s">
        <v>7753</v>
      </c>
      <c r="B1421" s="8">
        <v>1815.76108404201</v>
      </c>
      <c r="C1421" s="12">
        <v>3857.9601028781599</v>
      </c>
      <c r="D1421" s="8">
        <v>-1.0872638370221099</v>
      </c>
      <c r="E1421" s="12">
        <v>3.2719053142412501E-3</v>
      </c>
      <c r="F1421" s="8" t="s">
        <v>3388</v>
      </c>
      <c r="G1421" s="12" t="s">
        <v>3389</v>
      </c>
      <c r="H1421" s="12">
        <v>1</v>
      </c>
      <c r="I1421" s="13" t="str">
        <f>HYPERLINK("http://www.ncbi.nlm.nih.gov/gene/28989", "28989")</f>
        <v>28989</v>
      </c>
      <c r="J1421" s="13" t="str">
        <f>HYPERLINK("http://www.ncbi.nlm.nih.gov/nuccore/NM_014064", "NM_014064")</f>
        <v>NM_014064</v>
      </c>
      <c r="K1421" s="12" t="s">
        <v>3390</v>
      </c>
      <c r="L1421" s="13" t="str">
        <f>HYPERLINK("http://asia.ensembl.org/Homo_sapiens/Gene/Summary?g=ENSG00000148335", "ENSG00000148335")</f>
        <v>ENSG00000148335</v>
      </c>
      <c r="M1421" s="12" t="s">
        <v>17289</v>
      </c>
      <c r="N1421" s="12" t="s">
        <v>17290</v>
      </c>
    </row>
    <row r="1422" spans="1:14">
      <c r="A1422" s="12" t="s">
        <v>11116</v>
      </c>
      <c r="B1422" s="8">
        <v>483.25479815445601</v>
      </c>
      <c r="C1422" s="12">
        <v>1026.2772392694301</v>
      </c>
      <c r="D1422" s="8">
        <v>-1.08656455237528</v>
      </c>
      <c r="E1422" s="12">
        <v>3.5452432937336201E-2</v>
      </c>
      <c r="F1422" s="8" t="s">
        <v>4776</v>
      </c>
      <c r="G1422" s="12" t="s">
        <v>19973</v>
      </c>
      <c r="H1422" s="12">
        <v>1</v>
      </c>
      <c r="I1422" s="13" t="str">
        <f>HYPERLINK("http://www.ncbi.nlm.nih.gov/gene/58475", "58475")</f>
        <v>58475</v>
      </c>
      <c r="J1422" s="12" t="s">
        <v>19974</v>
      </c>
      <c r="K1422" s="12" t="s">
        <v>19975</v>
      </c>
      <c r="L1422" s="13" t="str">
        <f>HYPERLINK("http://asia.ensembl.org/Homo_sapiens/Gene/Summary?g=ENSG00000166927", "ENSG00000166927")</f>
        <v>ENSG00000166927</v>
      </c>
      <c r="M1422" s="12" t="s">
        <v>19976</v>
      </c>
      <c r="N1422" s="12" t="s">
        <v>19977</v>
      </c>
    </row>
    <row r="1423" spans="1:14">
      <c r="A1423" s="12" t="s">
        <v>11285</v>
      </c>
      <c r="B1423" s="8">
        <v>17185.331298404199</v>
      </c>
      <c r="C1423" s="12">
        <v>36492.638855502999</v>
      </c>
      <c r="D1423" s="8">
        <v>-1.08642781463183</v>
      </c>
      <c r="E1423" s="12">
        <v>5.4920899017061198E-3</v>
      </c>
      <c r="F1423" s="8" t="s">
        <v>536</v>
      </c>
      <c r="G1423" s="12" t="s">
        <v>537</v>
      </c>
      <c r="H1423" s="12">
        <v>1</v>
      </c>
      <c r="I1423" s="13" t="str">
        <f>HYPERLINK("http://www.ncbi.nlm.nih.gov/gene/51248", "51248")</f>
        <v>51248</v>
      </c>
      <c r="J1423" s="13" t="str">
        <f>HYPERLINK("http://www.ncbi.nlm.nih.gov/nuccore/NM_016484", "NM_016484")</f>
        <v>NM_016484</v>
      </c>
      <c r="K1423" s="12" t="s">
        <v>538</v>
      </c>
      <c r="L1423" s="13" t="str">
        <f>HYPERLINK("http://asia.ensembl.org/Homo_sapiens/Gene/Summary?g=ENSG00000120509", "ENSG00000120509")</f>
        <v>ENSG00000120509</v>
      </c>
      <c r="M1423" s="12" t="s">
        <v>20020</v>
      </c>
      <c r="N1423" s="12" t="s">
        <v>20021</v>
      </c>
    </row>
    <row r="1424" spans="1:14">
      <c r="A1424" s="12" t="s">
        <v>11309</v>
      </c>
      <c r="B1424" s="8">
        <v>1630.4038183323501</v>
      </c>
      <c r="C1424" s="12">
        <v>3461.80620040228</v>
      </c>
      <c r="D1424" s="8">
        <v>-1.08629562634626</v>
      </c>
      <c r="E1424" s="12">
        <v>9.4811124191437699E-3</v>
      </c>
      <c r="F1424" s="8" t="s">
        <v>6109</v>
      </c>
      <c r="G1424" s="12" t="s">
        <v>20055</v>
      </c>
      <c r="H1424" s="12">
        <v>1</v>
      </c>
      <c r="I1424" s="13" t="str">
        <f>HYPERLINK("http://www.ncbi.nlm.nih.gov/gene/22900", "22900")</f>
        <v>22900</v>
      </c>
      <c r="J1424" s="13" t="str">
        <f>HYPERLINK("http://www.ncbi.nlm.nih.gov/nuccore/NM_001184904", "NM_001184904")</f>
        <v>NM_001184904</v>
      </c>
      <c r="K1424" s="12" t="s">
        <v>11310</v>
      </c>
      <c r="L1424" s="13" t="str">
        <f>HYPERLINK("http://asia.ensembl.org/Homo_sapiens/Gene/Summary?g=ENSG00000105483", "ENSG00000105483")</f>
        <v>ENSG00000105483</v>
      </c>
      <c r="M1424" s="12" t="s">
        <v>20056</v>
      </c>
      <c r="N1424" s="12" t="s">
        <v>20057</v>
      </c>
    </row>
    <row r="1425" spans="1:14">
      <c r="A1425" s="12" t="s">
        <v>6402</v>
      </c>
      <c r="B1425" s="8">
        <v>18534.409223886702</v>
      </c>
      <c r="C1425" s="12">
        <v>39351.665752483299</v>
      </c>
      <c r="D1425" s="8">
        <v>-1.08621857555478</v>
      </c>
      <c r="E1425" s="12">
        <v>2.5465270083826302E-2</v>
      </c>
      <c r="F1425" s="8" t="s">
        <v>6403</v>
      </c>
      <c r="G1425" s="12" t="s">
        <v>6404</v>
      </c>
      <c r="H1425" s="12">
        <v>1</v>
      </c>
      <c r="I1425" s="13" t="str">
        <f>HYPERLINK("http://www.ncbi.nlm.nih.gov/gene/10360", "10360")</f>
        <v>10360</v>
      </c>
      <c r="J1425" s="13" t="str">
        <f>HYPERLINK("http://www.ncbi.nlm.nih.gov/nuccore/NM_006993", "NM_006993")</f>
        <v>NM_006993</v>
      </c>
      <c r="K1425" s="12" t="s">
        <v>6405</v>
      </c>
      <c r="L1425" s="13" t="str">
        <f>HYPERLINK("http://asia.ensembl.org/Homo_sapiens/Gene/Summary?g=ENSG00000107833", "ENSG00000107833")</f>
        <v>ENSG00000107833</v>
      </c>
      <c r="M1425" s="12" t="s">
        <v>18147</v>
      </c>
      <c r="N1425" s="12" t="s">
        <v>6406</v>
      </c>
    </row>
    <row r="1426" spans="1:14">
      <c r="A1426" s="12" t="s">
        <v>8655</v>
      </c>
      <c r="B1426" s="8">
        <v>1247.04120989019</v>
      </c>
      <c r="C1426" s="12">
        <v>2646.8327894745198</v>
      </c>
      <c r="D1426" s="8">
        <v>-1.08575791571402</v>
      </c>
      <c r="E1426" s="12">
        <v>2.1263933113639999E-2</v>
      </c>
      <c r="F1426" s="8" t="s">
        <v>8656</v>
      </c>
      <c r="G1426" s="12" t="s">
        <v>8657</v>
      </c>
      <c r="H1426" s="12">
        <v>4</v>
      </c>
      <c r="I1426" s="12" t="s">
        <v>8658</v>
      </c>
      <c r="J1426" s="12" t="s">
        <v>18946</v>
      </c>
      <c r="K1426" s="12" t="s">
        <v>18947</v>
      </c>
      <c r="L1426" s="12" t="s">
        <v>8659</v>
      </c>
      <c r="M1426" s="12" t="s">
        <v>8660</v>
      </c>
      <c r="N1426" s="12" t="s">
        <v>8661</v>
      </c>
    </row>
    <row r="1427" spans="1:14">
      <c r="A1427" s="12" t="s">
        <v>9746</v>
      </c>
      <c r="B1427" s="8">
        <v>1272.5337400588</v>
      </c>
      <c r="C1427" s="12">
        <v>2699.5829926292399</v>
      </c>
      <c r="D1427" s="8">
        <v>-1.0850326613579599</v>
      </c>
      <c r="E1427" s="12">
        <v>1.1369497112385E-2</v>
      </c>
      <c r="F1427" s="8" t="s">
        <v>9747</v>
      </c>
      <c r="G1427" s="12" t="s">
        <v>9748</v>
      </c>
      <c r="H1427" s="12">
        <v>1</v>
      </c>
      <c r="I1427" s="13" t="str">
        <f>HYPERLINK("http://www.ncbi.nlm.nih.gov/gene/4902", "4902")</f>
        <v>4902</v>
      </c>
      <c r="J1427" s="13" t="str">
        <f>HYPERLINK("http://www.ncbi.nlm.nih.gov/nuccore/NM_004558", "NM_004558")</f>
        <v>NM_004558</v>
      </c>
      <c r="K1427" s="12" t="s">
        <v>9749</v>
      </c>
      <c r="L1427" s="13" t="str">
        <f>HYPERLINK("http://asia.ensembl.org/Homo_sapiens/Gene/Summary?g=ENSG00000171119", "ENSG00000171119")</f>
        <v>ENSG00000171119</v>
      </c>
      <c r="M1427" s="12" t="s">
        <v>9750</v>
      </c>
      <c r="N1427" s="12" t="s">
        <v>9751</v>
      </c>
    </row>
    <row r="1428" spans="1:14">
      <c r="A1428" s="12" t="s">
        <v>3284</v>
      </c>
      <c r="B1428" s="8">
        <v>86.989221438769604</v>
      </c>
      <c r="C1428" s="12">
        <v>184.502669855308</v>
      </c>
      <c r="D1428" s="8">
        <v>-1.0847331356927199</v>
      </c>
      <c r="E1428" s="12">
        <v>4.2181415445067798E-3</v>
      </c>
      <c r="F1428" s="8" t="s">
        <v>3285</v>
      </c>
      <c r="G1428" s="12" t="s">
        <v>3286</v>
      </c>
      <c r="H1428" s="12">
        <v>1</v>
      </c>
      <c r="I1428" s="13" t="str">
        <f>HYPERLINK("http://www.ncbi.nlm.nih.gov/gene/100996624", "100996624")</f>
        <v>100996624</v>
      </c>
      <c r="J1428" s="12" t="s">
        <v>17273</v>
      </c>
      <c r="K1428" s="12" t="s">
        <v>13129</v>
      </c>
      <c r="L1428" s="13" t="str">
        <f>HYPERLINK("http://asia.ensembl.org/Homo_sapiens/Gene/Summary?g=ENSG00000229243", "ENSG00000229243")</f>
        <v>ENSG00000229243</v>
      </c>
      <c r="M1428" s="12" t="s">
        <v>3287</v>
      </c>
    </row>
    <row r="1429" spans="1:14">
      <c r="A1429" s="12" t="s">
        <v>4300</v>
      </c>
      <c r="B1429" s="8">
        <v>5431.0690388585699</v>
      </c>
      <c r="C1429" s="12">
        <v>11516.191739686599</v>
      </c>
      <c r="D1429" s="8">
        <v>-1.0843556066778199</v>
      </c>
      <c r="E1429" s="12">
        <v>4.3213699803954803E-3</v>
      </c>
      <c r="F1429" s="8" t="s">
        <v>4301</v>
      </c>
      <c r="G1429" s="12" t="s">
        <v>4302</v>
      </c>
      <c r="H1429" s="12">
        <v>1</v>
      </c>
      <c r="I1429" s="13" t="str">
        <f>HYPERLINK("http://www.ncbi.nlm.nih.gov/gene/23593", "23593")</f>
        <v>23593</v>
      </c>
      <c r="J1429" s="13" t="str">
        <f>HYPERLINK("http://www.ncbi.nlm.nih.gov/nuccore/NM_014320", "NM_014320")</f>
        <v>NM_014320</v>
      </c>
      <c r="K1429" s="12" t="s">
        <v>4303</v>
      </c>
      <c r="L1429" s="13" t="str">
        <f>HYPERLINK("http://asia.ensembl.org/Homo_sapiens/Gene/Summary?g=ENSG00000051620", "ENSG00000051620")</f>
        <v>ENSG00000051620</v>
      </c>
      <c r="M1429" s="12" t="s">
        <v>17646</v>
      </c>
      <c r="N1429" s="12" t="s">
        <v>17647</v>
      </c>
    </row>
    <row r="1430" spans="1:14">
      <c r="A1430" s="12" t="s">
        <v>7219</v>
      </c>
      <c r="B1430" s="8">
        <v>2244.8466807426698</v>
      </c>
      <c r="C1430" s="12">
        <v>4757.7382177229601</v>
      </c>
      <c r="D1430" s="8">
        <v>-1.08365897868905</v>
      </c>
      <c r="E1430" s="12">
        <v>2.5342871042262102E-3</v>
      </c>
      <c r="F1430" s="8" t="s">
        <v>7220</v>
      </c>
      <c r="G1430" s="12" t="s">
        <v>7221</v>
      </c>
      <c r="H1430" s="12">
        <v>1</v>
      </c>
      <c r="I1430" s="13" t="str">
        <f>HYPERLINK("http://www.ncbi.nlm.nih.gov/gene/25953", "25953")</f>
        <v>25953</v>
      </c>
      <c r="J1430" s="12" t="s">
        <v>18428</v>
      </c>
      <c r="K1430" s="12" t="s">
        <v>18429</v>
      </c>
      <c r="L1430" s="13" t="str">
        <f>HYPERLINK("http://asia.ensembl.org/Homo_sapiens/Gene/Summary?g=ENSG00000127838", "ENSG00000127838")</f>
        <v>ENSG00000127838</v>
      </c>
      <c r="M1430" s="12" t="s">
        <v>18430</v>
      </c>
      <c r="N1430" s="12" t="s">
        <v>18431</v>
      </c>
    </row>
    <row r="1431" spans="1:14">
      <c r="A1431" s="12" t="s">
        <v>206</v>
      </c>
      <c r="B1431" s="8">
        <v>8464.5853449653405</v>
      </c>
      <c r="C1431" s="12">
        <v>17932.4400771373</v>
      </c>
      <c r="D1431" s="8">
        <v>-1.0830605082877101</v>
      </c>
      <c r="E1431" s="12">
        <v>8.72136104889321E-4</v>
      </c>
      <c r="F1431" s="8" t="s">
        <v>207</v>
      </c>
      <c r="G1431" s="12" t="s">
        <v>16284</v>
      </c>
      <c r="H1431" s="12">
        <v>1</v>
      </c>
      <c r="I1431" s="13" t="str">
        <f>HYPERLINK("http://www.ncbi.nlm.nih.gov/gene/84967", "84967")</f>
        <v>84967</v>
      </c>
      <c r="J1431" s="13" t="str">
        <f>HYPERLINK("http://www.ncbi.nlm.nih.gov/nuccore/NM_032881", "NM_032881")</f>
        <v>NM_032881</v>
      </c>
      <c r="K1431" s="12" t="s">
        <v>208</v>
      </c>
      <c r="L1431" s="13" t="str">
        <f>HYPERLINK("http://asia.ensembl.org/Homo_sapiens/Gene/Summary?g=ENSG00000181817", "ENSG00000181817")</f>
        <v>ENSG00000181817</v>
      </c>
      <c r="M1431" s="12" t="s">
        <v>16285</v>
      </c>
      <c r="N1431" s="12" t="s">
        <v>209</v>
      </c>
    </row>
    <row r="1432" spans="1:14">
      <c r="A1432" s="12" t="s">
        <v>8303</v>
      </c>
      <c r="B1432" s="8">
        <v>1034.4507772342599</v>
      </c>
      <c r="C1432" s="12">
        <v>2191.0532420791501</v>
      </c>
      <c r="D1432" s="8">
        <v>-1.0827595435212301</v>
      </c>
      <c r="E1432" s="12">
        <v>1.9005834372327901E-4</v>
      </c>
      <c r="F1432" s="8" t="s">
        <v>8304</v>
      </c>
      <c r="G1432" s="12" t="s">
        <v>18771</v>
      </c>
      <c r="H1432" s="12">
        <v>4</v>
      </c>
      <c r="I1432" s="12" t="s">
        <v>8305</v>
      </c>
      <c r="J1432" s="12" t="s">
        <v>18772</v>
      </c>
      <c r="K1432" s="12" t="s">
        <v>18773</v>
      </c>
      <c r="L1432" s="12" t="s">
        <v>8306</v>
      </c>
      <c r="M1432" s="12" t="s">
        <v>18774</v>
      </c>
      <c r="N1432" s="12" t="s">
        <v>18775</v>
      </c>
    </row>
    <row r="1433" spans="1:14">
      <c r="A1433" s="12" t="s">
        <v>6168</v>
      </c>
      <c r="B1433" s="8">
        <v>171.391595963231</v>
      </c>
      <c r="C1433" s="12">
        <v>362.82790506587497</v>
      </c>
      <c r="D1433" s="8">
        <v>-1.0819890477993801</v>
      </c>
      <c r="E1433" s="12">
        <v>4.8027444291778298E-2</v>
      </c>
      <c r="F1433" s="8" t="s">
        <v>6169</v>
      </c>
      <c r="G1433" s="12" t="s">
        <v>6170</v>
      </c>
      <c r="H1433" s="12">
        <v>1</v>
      </c>
      <c r="I1433" s="13" t="str">
        <f>HYPERLINK("http://www.ncbi.nlm.nih.gov/gene/201134", "201134")</f>
        <v>201134</v>
      </c>
      <c r="J1433" s="13" t="str">
        <f>HYPERLINK("http://www.ncbi.nlm.nih.gov/nuccore/NM_001037325", "NM_001037325")</f>
        <v>NM_001037325</v>
      </c>
      <c r="K1433" s="12" t="s">
        <v>6171</v>
      </c>
      <c r="L1433" s="13" t="str">
        <f>HYPERLINK("http://asia.ensembl.org/Homo_sapiens/Gene/Summary?g=ENSG00000154240", "ENSG00000154240")</f>
        <v>ENSG00000154240</v>
      </c>
      <c r="M1433" s="12" t="s">
        <v>18073</v>
      </c>
      <c r="N1433" s="12" t="s">
        <v>18074</v>
      </c>
    </row>
    <row r="1434" spans="1:14">
      <c r="A1434" s="12" t="s">
        <v>11134</v>
      </c>
      <c r="B1434" s="8">
        <v>55.9727497913387</v>
      </c>
      <c r="C1434" s="12">
        <v>118.487318316433</v>
      </c>
      <c r="D1434" s="8">
        <v>-1.0819361255758799</v>
      </c>
      <c r="E1434" s="12">
        <v>2.35123616175511E-2</v>
      </c>
      <c r="F1434" s="8" t="s">
        <v>38</v>
      </c>
      <c r="G1434" s="12" t="s">
        <v>38</v>
      </c>
      <c r="H1434" s="12">
        <v>1</v>
      </c>
      <c r="I1434" s="12" t="s">
        <v>38</v>
      </c>
      <c r="J1434" s="12" t="s">
        <v>38</v>
      </c>
      <c r="K1434" s="12" t="s">
        <v>38</v>
      </c>
      <c r="L1434" s="13" t="str">
        <f>HYPERLINK("http://asia.ensembl.org/Homo_sapiens/Gene/Summary?g=ENSG00000091164", "ENSG00000091164")</f>
        <v>ENSG00000091164</v>
      </c>
      <c r="M1434" s="12" t="s">
        <v>11135</v>
      </c>
      <c r="N1434" s="12" t="s">
        <v>19990</v>
      </c>
    </row>
    <row r="1435" spans="1:14">
      <c r="A1435" s="12" t="s">
        <v>6407</v>
      </c>
      <c r="B1435" s="8">
        <v>858.76116674395405</v>
      </c>
      <c r="C1435" s="12">
        <v>1817.67002216896</v>
      </c>
      <c r="D1435" s="8">
        <v>-1.08176145903299</v>
      </c>
      <c r="E1435" s="12">
        <v>4.4802626728927E-2</v>
      </c>
      <c r="F1435" s="8" t="s">
        <v>6408</v>
      </c>
      <c r="G1435" s="12" t="s">
        <v>18148</v>
      </c>
      <c r="H1435" s="12">
        <v>1</v>
      </c>
      <c r="I1435" s="13" t="str">
        <f>HYPERLINK("http://www.ncbi.nlm.nih.gov/gene/714", "714")</f>
        <v>714</v>
      </c>
      <c r="J1435" s="12" t="s">
        <v>18149</v>
      </c>
      <c r="K1435" s="12" t="s">
        <v>18150</v>
      </c>
      <c r="L1435" s="13" t="str">
        <f>HYPERLINK("http://asia.ensembl.org/Homo_sapiens/Gene/Summary?g=ENSG00000159189", "ENSG00000159189")</f>
        <v>ENSG00000159189</v>
      </c>
      <c r="M1435" s="12" t="s">
        <v>18151</v>
      </c>
      <c r="N1435" s="12" t="s">
        <v>18152</v>
      </c>
    </row>
    <row r="1436" spans="1:14">
      <c r="A1436" s="12" t="s">
        <v>6472</v>
      </c>
      <c r="B1436" s="8">
        <v>26284.313126417601</v>
      </c>
      <c r="C1436" s="12">
        <v>55631.256028640499</v>
      </c>
      <c r="D1436" s="8">
        <v>-1.08169364452672</v>
      </c>
      <c r="E1436" s="12">
        <v>2.8913913637231498E-3</v>
      </c>
      <c r="F1436" s="8" t="s">
        <v>6473</v>
      </c>
      <c r="G1436" s="12" t="s">
        <v>6474</v>
      </c>
      <c r="H1436" s="12">
        <v>1</v>
      </c>
      <c r="I1436" s="13" t="str">
        <f>HYPERLINK("http://www.ncbi.nlm.nih.gov/gene/84661", "84661")</f>
        <v>84661</v>
      </c>
      <c r="J1436" s="13" t="str">
        <f>HYPERLINK("http://www.ncbi.nlm.nih.gov/nuccore/NM_032574", "NM_032574")</f>
        <v>NM_032574</v>
      </c>
      <c r="K1436" s="12" t="s">
        <v>6475</v>
      </c>
      <c r="L1436" s="13" t="str">
        <f>HYPERLINK("http://asia.ensembl.org/Homo_sapiens/Gene/Summary?g=ENSG00000162961", "ENSG00000162961")</f>
        <v>ENSG00000162961</v>
      </c>
      <c r="M1436" s="12" t="s">
        <v>18181</v>
      </c>
      <c r="N1436" s="12" t="s">
        <v>18182</v>
      </c>
    </row>
    <row r="1437" spans="1:14">
      <c r="A1437" s="12" t="s">
        <v>3150</v>
      </c>
      <c r="B1437" s="8">
        <v>8603.6338533789694</v>
      </c>
      <c r="C1437" s="12">
        <v>18201.503414286501</v>
      </c>
      <c r="D1437" s="8">
        <v>-1.0810395854769099</v>
      </c>
      <c r="E1437" s="12">
        <v>3.69443013070262E-3</v>
      </c>
      <c r="F1437" s="8" t="s">
        <v>3151</v>
      </c>
      <c r="G1437" s="12" t="s">
        <v>3152</v>
      </c>
      <c r="H1437" s="12">
        <v>1</v>
      </c>
      <c r="I1437" s="13" t="str">
        <f>HYPERLINK("http://www.ncbi.nlm.nih.gov/gene/84798", "84798")</f>
        <v>84798</v>
      </c>
      <c r="J1437" s="12" t="s">
        <v>17218</v>
      </c>
      <c r="K1437" s="12" t="s">
        <v>17219</v>
      </c>
      <c r="L1437" s="13" t="str">
        <f>HYPERLINK("http://asia.ensembl.org/Homo_sapiens/Gene/Summary?g=ENSG00000167747", "ENSG00000167747")</f>
        <v>ENSG00000167747</v>
      </c>
      <c r="M1437" s="12" t="s">
        <v>17220</v>
      </c>
      <c r="N1437" s="12" t="s">
        <v>17221</v>
      </c>
    </row>
    <row r="1438" spans="1:14">
      <c r="A1438" s="12" t="s">
        <v>2213</v>
      </c>
      <c r="B1438" s="8">
        <v>436.22766667934297</v>
      </c>
      <c r="C1438" s="12">
        <v>922.40884377348902</v>
      </c>
      <c r="D1438" s="8">
        <v>-1.0803250728678899</v>
      </c>
      <c r="E1438" s="12">
        <v>5.2871395152332499E-3</v>
      </c>
      <c r="F1438" s="8" t="s">
        <v>2214</v>
      </c>
      <c r="G1438" s="12" t="s">
        <v>16959</v>
      </c>
      <c r="H1438" s="12">
        <v>1</v>
      </c>
      <c r="I1438" s="13" t="str">
        <f>HYPERLINK("http://www.ncbi.nlm.nih.gov/gene/339145", "339145")</f>
        <v>339145</v>
      </c>
      <c r="J1438" s="13" t="str">
        <f>HYPERLINK("http://www.ncbi.nlm.nih.gov/nuccore/NM_198491", "NM_198491")</f>
        <v>NM_198491</v>
      </c>
      <c r="K1438" s="12" t="s">
        <v>2215</v>
      </c>
      <c r="L1438" s="13" t="str">
        <f>HYPERLINK("http://asia.ensembl.org/Homo_sapiens/Gene/Summary?g=ENSG00000153789", "ENSG00000153789")</f>
        <v>ENSG00000153789</v>
      </c>
      <c r="M1438" s="12" t="s">
        <v>16960</v>
      </c>
      <c r="N1438" s="12" t="s">
        <v>16961</v>
      </c>
    </row>
    <row r="1439" spans="1:14">
      <c r="A1439" s="12" t="s">
        <v>10727</v>
      </c>
      <c r="B1439" s="8">
        <v>52.926597634558597</v>
      </c>
      <c r="C1439" s="12">
        <v>111.88959993478601</v>
      </c>
      <c r="D1439" s="8">
        <v>-1.0800111259996199</v>
      </c>
      <c r="E1439" s="12">
        <v>4.0510863327912396E-3</v>
      </c>
      <c r="F1439" s="8" t="s">
        <v>10728</v>
      </c>
      <c r="G1439" s="12" t="s">
        <v>10729</v>
      </c>
      <c r="H1439" s="12">
        <v>1</v>
      </c>
      <c r="I1439" s="13" t="str">
        <f>HYPERLINK("http://www.ncbi.nlm.nih.gov/gene/57514", "57514")</f>
        <v>57514</v>
      </c>
      <c r="J1439" s="13" t="str">
        <f>HYPERLINK("http://www.ncbi.nlm.nih.gov/nuccore/NM_020754", "NM_020754")</f>
        <v>NM_020754</v>
      </c>
      <c r="K1439" s="12" t="s">
        <v>10730</v>
      </c>
      <c r="L1439" s="13" t="str">
        <f>HYPERLINK("http://asia.ensembl.org/Homo_sapiens/Gene/Summary?g=ENSG00000031081", "ENSG00000031081")</f>
        <v>ENSG00000031081</v>
      </c>
      <c r="M1439" s="12" t="s">
        <v>19843</v>
      </c>
      <c r="N1439" s="12" t="s">
        <v>19844</v>
      </c>
    </row>
    <row r="1440" spans="1:14">
      <c r="A1440" s="12" t="s">
        <v>1344</v>
      </c>
      <c r="B1440" s="8">
        <v>298.06686744444301</v>
      </c>
      <c r="C1440" s="12">
        <v>630.11775441163002</v>
      </c>
      <c r="D1440" s="8">
        <v>-1.07998544313162</v>
      </c>
      <c r="E1440" s="12">
        <v>3.0070595292587599E-2</v>
      </c>
      <c r="F1440" s="8" t="s">
        <v>1345</v>
      </c>
      <c r="G1440" s="12" t="s">
        <v>338</v>
      </c>
      <c r="H1440" s="12">
        <v>1</v>
      </c>
      <c r="I1440" s="13" t="str">
        <f>HYPERLINK("http://www.ncbi.nlm.nih.gov/gene/81832", "81832")</f>
        <v>81832</v>
      </c>
      <c r="J1440" s="13" t="str">
        <f>HYPERLINK("http://www.ncbi.nlm.nih.gov/nuccore/NM_138966", "NM_138966")</f>
        <v>NM_138966</v>
      </c>
      <c r="K1440" s="12" t="s">
        <v>1346</v>
      </c>
      <c r="L1440" s="13" t="str">
        <f>HYPERLINK("http://asia.ensembl.org/Homo_sapiens/Gene/Summary?g=ENSG00000166342", "ENSG00000166342")</f>
        <v>ENSG00000166342</v>
      </c>
      <c r="M1440" s="12" t="s">
        <v>16580</v>
      </c>
      <c r="N1440" s="12" t="s">
        <v>16581</v>
      </c>
    </row>
    <row r="1441" spans="1:14">
      <c r="A1441" s="12" t="s">
        <v>7894</v>
      </c>
      <c r="B1441" s="8">
        <v>3121.6869978004202</v>
      </c>
      <c r="C1441" s="12">
        <v>6598.8858128393804</v>
      </c>
      <c r="D1441" s="8">
        <v>-1.0798965637046001</v>
      </c>
      <c r="E1441" s="12">
        <v>9.0407457310849896E-4</v>
      </c>
      <c r="F1441" s="8" t="s">
        <v>7895</v>
      </c>
      <c r="G1441" s="12" t="s">
        <v>7896</v>
      </c>
      <c r="H1441" s="12">
        <v>1</v>
      </c>
      <c r="I1441" s="13" t="str">
        <f>HYPERLINK("http://www.ncbi.nlm.nih.gov/gene/4257", "4257")</f>
        <v>4257</v>
      </c>
      <c r="J1441" s="12" t="s">
        <v>18658</v>
      </c>
      <c r="K1441" s="12" t="s">
        <v>18659</v>
      </c>
      <c r="L1441" s="13" t="str">
        <f>HYPERLINK("http://asia.ensembl.org/Homo_sapiens/Gene/Summary?g=ENSG00000008394", "ENSG00000008394")</f>
        <v>ENSG00000008394</v>
      </c>
      <c r="M1441" s="12" t="s">
        <v>18660</v>
      </c>
      <c r="N1441" s="12" t="s">
        <v>18661</v>
      </c>
    </row>
    <row r="1442" spans="1:14">
      <c r="A1442" s="12" t="s">
        <v>8858</v>
      </c>
      <c r="B1442" s="8">
        <v>2261.2413087438099</v>
      </c>
      <c r="C1442" s="12">
        <v>4777.9744160763103</v>
      </c>
      <c r="D1442" s="8">
        <v>-1.07928417107893</v>
      </c>
      <c r="E1442" s="12">
        <v>5.7659388498785304E-3</v>
      </c>
      <c r="F1442" s="8" t="s">
        <v>8859</v>
      </c>
      <c r="G1442" s="12" t="s">
        <v>8860</v>
      </c>
      <c r="H1442" s="12">
        <v>1</v>
      </c>
      <c r="I1442" s="13" t="str">
        <f>HYPERLINK("http://www.ncbi.nlm.nih.gov/gene/83695", "83695")</f>
        <v>83695</v>
      </c>
      <c r="J1442" s="12" t="s">
        <v>18981</v>
      </c>
      <c r="K1442" s="12" t="s">
        <v>18982</v>
      </c>
      <c r="L1442" s="13" t="str">
        <f>HYPERLINK("http://asia.ensembl.org/Homo_sapiens/Gene/Summary?g=ENSG00000171792", "ENSG00000171792")</f>
        <v>ENSG00000171792</v>
      </c>
      <c r="M1442" s="12" t="s">
        <v>18983</v>
      </c>
      <c r="N1442" s="12" t="s">
        <v>18984</v>
      </c>
    </row>
    <row r="1443" spans="1:14">
      <c r="A1443" s="12" t="s">
        <v>626</v>
      </c>
      <c r="B1443" s="8">
        <v>155.531310751668</v>
      </c>
      <c r="C1443" s="12">
        <v>328.62109418768603</v>
      </c>
      <c r="D1443" s="8">
        <v>-1.07922004442382</v>
      </c>
      <c r="E1443" s="12">
        <v>8.4471971976611201E-3</v>
      </c>
      <c r="F1443" s="8" t="s">
        <v>627</v>
      </c>
      <c r="G1443" s="12" t="s">
        <v>628</v>
      </c>
      <c r="H1443" s="12">
        <v>1</v>
      </c>
      <c r="I1443" s="13" t="str">
        <f>HYPERLINK("http://www.ncbi.nlm.nih.gov/gene/23308", "23308")</f>
        <v>23308</v>
      </c>
      <c r="J1443" s="13" t="str">
        <f>HYPERLINK("http://www.ncbi.nlm.nih.gov/nuccore/NM_015259", "NM_015259")</f>
        <v>NM_015259</v>
      </c>
      <c r="K1443" s="12" t="s">
        <v>629</v>
      </c>
      <c r="L1443" s="13" t="str">
        <f>HYPERLINK("http://asia.ensembl.org/Homo_sapiens/Gene/Summary?g=ENSG00000277117", "ENSG00000277117")</f>
        <v>ENSG00000277117</v>
      </c>
      <c r="M1443" s="12" t="s">
        <v>630</v>
      </c>
      <c r="N1443" s="12" t="s">
        <v>631</v>
      </c>
    </row>
    <row r="1444" spans="1:14">
      <c r="A1444" s="12" t="s">
        <v>9400</v>
      </c>
      <c r="B1444" s="8">
        <v>521.42431629278997</v>
      </c>
      <c r="C1444" s="12">
        <v>1101.57894640666</v>
      </c>
      <c r="D1444" s="8">
        <v>-1.07904312305328</v>
      </c>
      <c r="E1444" s="12">
        <v>9.2638410950284696E-3</v>
      </c>
      <c r="F1444" s="8" t="s">
        <v>9401</v>
      </c>
      <c r="G1444" s="12" t="s">
        <v>9402</v>
      </c>
      <c r="H1444" s="12">
        <v>1</v>
      </c>
      <c r="I1444" s="13" t="str">
        <f>HYPERLINK("http://www.ncbi.nlm.nih.gov/gene/134701", "134701")</f>
        <v>134701</v>
      </c>
      <c r="J1444" s="13" t="str">
        <f>HYPERLINK("http://www.ncbi.nlm.nih.gov/nuccore/NM_001009994", "NM_001009994")</f>
        <v>NM_001009994</v>
      </c>
      <c r="K1444" s="12" t="s">
        <v>9403</v>
      </c>
      <c r="L1444" s="13" t="str">
        <f>HYPERLINK("http://asia.ensembl.org/Homo_sapiens/Gene/Summary?g=ENSG00000203877", "ENSG00000203877")</f>
        <v>ENSG00000203877</v>
      </c>
      <c r="M1444" s="12" t="s">
        <v>19143</v>
      </c>
      <c r="N1444" s="12" t="s">
        <v>19144</v>
      </c>
    </row>
    <row r="1445" spans="1:14">
      <c r="A1445" s="12" t="s">
        <v>7309</v>
      </c>
      <c r="B1445" s="8">
        <v>85434.153739781803</v>
      </c>
      <c r="C1445" s="12">
        <v>180482.638692682</v>
      </c>
      <c r="D1445" s="8">
        <v>-1.0789752336209</v>
      </c>
      <c r="E1445" s="12">
        <v>8.4476852666722294E-3</v>
      </c>
      <c r="F1445" s="8" t="s">
        <v>7310</v>
      </c>
      <c r="G1445" s="12" t="s">
        <v>7311</v>
      </c>
      <c r="H1445" s="12">
        <v>1</v>
      </c>
      <c r="I1445" s="13" t="str">
        <f>HYPERLINK("http://www.ncbi.nlm.nih.gov/gene/6173", "6173")</f>
        <v>6173</v>
      </c>
      <c r="J1445" s="13" t="str">
        <f>HYPERLINK("http://www.ncbi.nlm.nih.gov/nuccore/NM_021029", "NM_021029")</f>
        <v>NM_021029</v>
      </c>
      <c r="K1445" s="12" t="s">
        <v>7312</v>
      </c>
      <c r="L1445" s="13" t="str">
        <f>HYPERLINK("http://asia.ensembl.org/Homo_sapiens/Gene/Summary?g=ENSG00000241343", "ENSG00000241343")</f>
        <v>ENSG00000241343</v>
      </c>
      <c r="M1445" s="12" t="s">
        <v>18477</v>
      </c>
      <c r="N1445" s="12" t="s">
        <v>18478</v>
      </c>
    </row>
    <row r="1446" spans="1:14">
      <c r="A1446" s="12" t="s">
        <v>2998</v>
      </c>
      <c r="B1446" s="8">
        <v>68.990452660789103</v>
      </c>
      <c r="C1446" s="12">
        <v>145.73286743760301</v>
      </c>
      <c r="D1446" s="8">
        <v>-1.0788576566532799</v>
      </c>
      <c r="E1446" s="12">
        <v>2.24548356325356E-2</v>
      </c>
      <c r="F1446" s="8" t="s">
        <v>2999</v>
      </c>
      <c r="G1446" s="12" t="s">
        <v>3000</v>
      </c>
      <c r="H1446" s="12">
        <v>1</v>
      </c>
      <c r="I1446" s="13" t="str">
        <f>HYPERLINK("http://www.ncbi.nlm.nih.gov/gene/54738", "54738")</f>
        <v>54738</v>
      </c>
      <c r="J1446" s="13" t="str">
        <f>HYPERLINK("http://www.ncbi.nlm.nih.gov/nuccore/NM_017521", "NM_017521")</f>
        <v>NM_017521</v>
      </c>
      <c r="K1446" s="12" t="s">
        <v>3001</v>
      </c>
      <c r="L1446" s="13" t="str">
        <f>HYPERLINK("http://asia.ensembl.org/Homo_sapiens/Gene/Summary?g=ENSG00000163497", "ENSG00000163497")</f>
        <v>ENSG00000163497</v>
      </c>
      <c r="M1446" s="12" t="s">
        <v>17165</v>
      </c>
      <c r="N1446" s="12" t="s">
        <v>3002</v>
      </c>
    </row>
    <row r="1447" spans="1:14">
      <c r="A1447" s="12" t="s">
        <v>9951</v>
      </c>
      <c r="B1447" s="8">
        <v>51.394687811415302</v>
      </c>
      <c r="C1447" s="12">
        <v>108.562957220947</v>
      </c>
      <c r="D1447" s="8">
        <v>-1.07884077063199</v>
      </c>
      <c r="E1447" s="12">
        <v>4.4761066947283197E-3</v>
      </c>
      <c r="F1447" s="8" t="s">
        <v>2353</v>
      </c>
      <c r="G1447" s="12" t="s">
        <v>2354</v>
      </c>
      <c r="H1447" s="12">
        <v>1</v>
      </c>
      <c r="I1447" s="13" t="str">
        <f>HYPERLINK("http://www.ncbi.nlm.nih.gov/gene/11147", "11147")</f>
        <v>11147</v>
      </c>
      <c r="J1447" s="12" t="s">
        <v>19467</v>
      </c>
      <c r="K1447" s="12" t="s">
        <v>19468</v>
      </c>
      <c r="L1447" s="13" t="str">
        <f>HYPERLINK("http://asia.ensembl.org/Homo_sapiens/Gene/Summary?g=ENSG00000197568", "ENSG00000197568")</f>
        <v>ENSG00000197568</v>
      </c>
      <c r="M1447" s="12" t="s">
        <v>19469</v>
      </c>
      <c r="N1447" s="12" t="s">
        <v>19470</v>
      </c>
    </row>
    <row r="1448" spans="1:14">
      <c r="A1448" s="12" t="s">
        <v>8728</v>
      </c>
      <c r="B1448" s="8">
        <v>1404.51283165328</v>
      </c>
      <c r="C1448" s="12">
        <v>2966.4228656447699</v>
      </c>
      <c r="D1448" s="8">
        <v>-1.07865446462361</v>
      </c>
      <c r="E1448" s="12">
        <v>1.22350862472348E-2</v>
      </c>
      <c r="F1448" s="8" t="s">
        <v>8729</v>
      </c>
      <c r="G1448" s="12" t="s">
        <v>8657</v>
      </c>
      <c r="H1448" s="12">
        <v>4</v>
      </c>
      <c r="I1448" s="12" t="s">
        <v>8730</v>
      </c>
      <c r="J1448" s="12" t="s">
        <v>18950</v>
      </c>
      <c r="K1448" s="12" t="s">
        <v>18951</v>
      </c>
      <c r="L1448" s="12" t="s">
        <v>8659</v>
      </c>
      <c r="M1448" s="12" t="s">
        <v>8660</v>
      </c>
      <c r="N1448" s="12" t="s">
        <v>8661</v>
      </c>
    </row>
    <row r="1449" spans="1:14">
      <c r="A1449" s="12" t="s">
        <v>4816</v>
      </c>
      <c r="B1449" s="8">
        <v>72847.388400238502</v>
      </c>
      <c r="C1449" s="12">
        <v>153847.336202153</v>
      </c>
      <c r="D1449" s="8">
        <v>-1.07855030696942</v>
      </c>
      <c r="E1449" s="12">
        <v>1.35761199101822E-2</v>
      </c>
      <c r="F1449" s="8" t="s">
        <v>4817</v>
      </c>
      <c r="G1449" s="12" t="s">
        <v>15570</v>
      </c>
      <c r="H1449" s="12">
        <v>1</v>
      </c>
      <c r="I1449" s="13" t="str">
        <f>HYPERLINK("http://www.ncbi.nlm.nih.gov/gene/5695", "5695")</f>
        <v>5695</v>
      </c>
      <c r="J1449" s="13" t="str">
        <f>HYPERLINK("http://www.ncbi.nlm.nih.gov/nuccore/NM_002799", "NM_002799")</f>
        <v>NM_002799</v>
      </c>
      <c r="K1449" s="12" t="s">
        <v>4818</v>
      </c>
      <c r="L1449" s="13" t="str">
        <f>HYPERLINK("http://asia.ensembl.org/Homo_sapiens/Gene/Summary?g=ENSG00000136930", "ENSG00000136930")</f>
        <v>ENSG00000136930</v>
      </c>
      <c r="M1449" s="12" t="s">
        <v>17745</v>
      </c>
      <c r="N1449" s="12" t="s">
        <v>17746</v>
      </c>
    </row>
    <row r="1450" spans="1:14">
      <c r="A1450" s="12" t="s">
        <v>8239</v>
      </c>
      <c r="B1450" s="8">
        <v>149.49252793496399</v>
      </c>
      <c r="C1450" s="12">
        <v>315.65197981973</v>
      </c>
      <c r="D1450" s="8">
        <v>-1.0782614237513299</v>
      </c>
      <c r="E1450" s="12">
        <v>6.4659116990807E-3</v>
      </c>
      <c r="F1450" s="8" t="s">
        <v>8240</v>
      </c>
      <c r="G1450" s="12" t="s">
        <v>8241</v>
      </c>
      <c r="H1450" s="12">
        <v>1</v>
      </c>
      <c r="I1450" s="13" t="str">
        <f>HYPERLINK("http://www.ncbi.nlm.nih.gov/gene/728279", "728279")</f>
        <v>728279</v>
      </c>
      <c r="J1450" s="13" t="str">
        <f>HYPERLINK("http://www.ncbi.nlm.nih.gov/nuccore/NM_033032", "NM_033032")</f>
        <v>NM_033032</v>
      </c>
      <c r="K1450" s="12" t="s">
        <v>8242</v>
      </c>
      <c r="L1450" s="13" t="str">
        <f>HYPERLINK("http://asia.ensembl.org/Homo_sapiens/Gene/Summary?g=ENSG00000262731", "ENSG00000262731")</f>
        <v>ENSG00000262731</v>
      </c>
      <c r="M1450" s="12" t="s">
        <v>18751</v>
      </c>
      <c r="N1450" s="12" t="s">
        <v>18752</v>
      </c>
    </row>
    <row r="1451" spans="1:14">
      <c r="A1451" s="12" t="s">
        <v>9159</v>
      </c>
      <c r="B1451" s="8">
        <v>206.551680254925</v>
      </c>
      <c r="C1451" s="12">
        <v>436.12183189042901</v>
      </c>
      <c r="D1451" s="8">
        <v>-1.0782284160564199</v>
      </c>
      <c r="E1451" s="12">
        <v>2.2716834689713399E-2</v>
      </c>
      <c r="F1451" s="8" t="s">
        <v>9160</v>
      </c>
      <c r="G1451" s="12" t="s">
        <v>9161</v>
      </c>
      <c r="H1451" s="12">
        <v>1</v>
      </c>
      <c r="I1451" s="13" t="str">
        <f>HYPERLINK("http://www.ncbi.nlm.nih.gov/gene/113452", "113452")</f>
        <v>113452</v>
      </c>
      <c r="J1451" s="13" t="str">
        <f>HYPERLINK("http://www.ncbi.nlm.nih.gov/nuccore/NM_033504", "NM_033504")</f>
        <v>NM_033504</v>
      </c>
      <c r="K1451" s="12" t="s">
        <v>9162</v>
      </c>
      <c r="L1451" s="13" t="str">
        <f>HYPERLINK("http://asia.ensembl.org/Homo_sapiens/Gene/Summary?g=ENSG00000121900", "ENSG00000121900")</f>
        <v>ENSG00000121900</v>
      </c>
      <c r="M1451" s="12" t="s">
        <v>19082</v>
      </c>
      <c r="N1451" s="12" t="s">
        <v>19083</v>
      </c>
    </row>
    <row r="1452" spans="1:14">
      <c r="A1452" s="12" t="s">
        <v>681</v>
      </c>
      <c r="B1452" s="8">
        <v>2435.8381264122099</v>
      </c>
      <c r="C1452" s="12">
        <v>5143.0397888645502</v>
      </c>
      <c r="D1452" s="8">
        <v>-1.07820305291852</v>
      </c>
      <c r="E1452" s="12">
        <v>9.5531116287831397E-3</v>
      </c>
      <c r="F1452" s="8" t="s">
        <v>682</v>
      </c>
      <c r="G1452" s="12" t="s">
        <v>16417</v>
      </c>
      <c r="H1452" s="12">
        <v>1</v>
      </c>
      <c r="I1452" s="13" t="str">
        <f>HYPERLINK("http://www.ncbi.nlm.nih.gov/gene/84284", "84284")</f>
        <v>84284</v>
      </c>
      <c r="J1452" s="13" t="str">
        <f>HYPERLINK("http://www.ncbi.nlm.nih.gov/nuccore/NM_032324", "NM_032324")</f>
        <v>NM_032324</v>
      </c>
      <c r="K1452" s="12" t="s">
        <v>683</v>
      </c>
      <c r="L1452" s="13" t="str">
        <f>HYPERLINK("http://asia.ensembl.org/Homo_sapiens/Gene/Summary?g=ENSG00000135778", "ENSG00000135778")</f>
        <v>ENSG00000135778</v>
      </c>
      <c r="M1452" s="12" t="s">
        <v>16418</v>
      </c>
      <c r="N1452" s="12" t="s">
        <v>16419</v>
      </c>
    </row>
    <row r="1453" spans="1:14">
      <c r="A1453" s="12" t="s">
        <v>10393</v>
      </c>
      <c r="B1453" s="8">
        <v>149.098054641874</v>
      </c>
      <c r="C1453" s="12">
        <v>314.80394572196002</v>
      </c>
      <c r="D1453" s="8">
        <v>-1.0781921893892501</v>
      </c>
      <c r="E1453" s="12">
        <v>8.7878751993749806E-3</v>
      </c>
      <c r="F1453" s="8" t="s">
        <v>10394</v>
      </c>
      <c r="G1453" s="12" t="s">
        <v>19716</v>
      </c>
      <c r="H1453" s="12">
        <v>1</v>
      </c>
      <c r="I1453" s="13" t="str">
        <f>HYPERLINK("http://www.ncbi.nlm.nih.gov/gene/644353", "644353")</f>
        <v>644353</v>
      </c>
      <c r="J1453" s="12" t="s">
        <v>19717</v>
      </c>
      <c r="K1453" s="12" t="s">
        <v>19718</v>
      </c>
      <c r="L1453" s="13" t="str">
        <f>HYPERLINK("http://asia.ensembl.org/Homo_sapiens/Gene/Summary?g=ENSG00000166707", "ENSG00000166707")</f>
        <v>ENSG00000166707</v>
      </c>
      <c r="M1453" s="12" t="s">
        <v>19719</v>
      </c>
      <c r="N1453" s="12" t="s">
        <v>19720</v>
      </c>
    </row>
    <row r="1454" spans="1:14">
      <c r="A1454" s="12" t="s">
        <v>11454</v>
      </c>
      <c r="B1454" s="8">
        <v>16276.6114031286</v>
      </c>
      <c r="C1454" s="12">
        <v>34358.831223890098</v>
      </c>
      <c r="D1454" s="8">
        <v>-1.0778805825812201</v>
      </c>
      <c r="E1454" s="12">
        <v>3.0141660511887399E-3</v>
      </c>
      <c r="F1454" s="8" t="s">
        <v>11455</v>
      </c>
      <c r="G1454" s="12" t="s">
        <v>20107</v>
      </c>
      <c r="H1454" s="12">
        <v>4</v>
      </c>
      <c r="I1454" s="12" t="s">
        <v>11456</v>
      </c>
      <c r="J1454" s="12" t="s">
        <v>20108</v>
      </c>
      <c r="K1454" s="12" t="s">
        <v>20109</v>
      </c>
      <c r="L1454" s="12" t="s">
        <v>11457</v>
      </c>
      <c r="M1454" s="12" t="s">
        <v>20110</v>
      </c>
      <c r="N1454" s="12" t="s">
        <v>20111</v>
      </c>
    </row>
    <row r="1455" spans="1:14">
      <c r="A1455" s="12" t="s">
        <v>9144</v>
      </c>
      <c r="B1455" s="8">
        <v>3731.2790046170599</v>
      </c>
      <c r="C1455" s="12">
        <v>7874.2769844173099</v>
      </c>
      <c r="D1455" s="8">
        <v>-1.0774772203943801</v>
      </c>
      <c r="E1455" s="12">
        <v>2.3579053789409602E-3</v>
      </c>
      <c r="F1455" s="8" t="s">
        <v>9145</v>
      </c>
      <c r="G1455" s="12" t="s">
        <v>9146</v>
      </c>
      <c r="H1455" s="12">
        <v>1</v>
      </c>
      <c r="I1455" s="13" t="str">
        <f>HYPERLINK("http://www.ncbi.nlm.nih.gov/gene/27338", "27338")</f>
        <v>27338</v>
      </c>
      <c r="J1455" s="13" t="str">
        <f>HYPERLINK("http://www.ncbi.nlm.nih.gov/nuccore/NM_014501", "NM_014501")</f>
        <v>NM_014501</v>
      </c>
      <c r="K1455" s="12" t="s">
        <v>9147</v>
      </c>
      <c r="L1455" s="13" t="str">
        <f>HYPERLINK("http://asia.ensembl.org/Homo_sapiens/Gene/Summary?g=ENSG00000108106", "ENSG00000108106")</f>
        <v>ENSG00000108106</v>
      </c>
      <c r="M1455" s="12" t="s">
        <v>19073</v>
      </c>
      <c r="N1455" s="12" t="s">
        <v>19074</v>
      </c>
    </row>
    <row r="1456" spans="1:14">
      <c r="A1456" s="12" t="s">
        <v>1275</v>
      </c>
      <c r="B1456" s="8">
        <v>83.095677376861502</v>
      </c>
      <c r="C1456" s="12">
        <v>175.32123549562399</v>
      </c>
      <c r="D1456" s="8">
        <v>-1.0771554154323599</v>
      </c>
      <c r="E1456" s="12">
        <v>1.4608911913224401E-3</v>
      </c>
      <c r="F1456" s="8" t="s">
        <v>1276</v>
      </c>
      <c r="G1456" s="12" t="s">
        <v>1277</v>
      </c>
      <c r="H1456" s="12">
        <v>1</v>
      </c>
      <c r="I1456" s="13" t="str">
        <f>HYPERLINK("http://www.ncbi.nlm.nih.gov/gene/11248", "11248")</f>
        <v>11248</v>
      </c>
      <c r="J1456" s="13" t="str">
        <f>HYPERLINK("http://www.ncbi.nlm.nih.gov/nuccore/NM_007225", "NM_007225")</f>
        <v>NM_007225</v>
      </c>
      <c r="K1456" s="12" t="s">
        <v>1278</v>
      </c>
      <c r="L1456" s="13" t="str">
        <f>HYPERLINK("http://asia.ensembl.org/Homo_sapiens/Gene/Summary?g=ENSG00000182575", "ENSG00000182575")</f>
        <v>ENSG00000182575</v>
      </c>
      <c r="M1456" s="12" t="s">
        <v>16564</v>
      </c>
      <c r="N1456" s="12" t="s">
        <v>16565</v>
      </c>
    </row>
    <row r="1457" spans="1:14">
      <c r="A1457" s="12" t="s">
        <v>7285</v>
      </c>
      <c r="B1457" s="8">
        <v>114093.119902744</v>
      </c>
      <c r="C1457" s="12">
        <v>240677.76867611599</v>
      </c>
      <c r="D1457" s="8">
        <v>-1.0768910905437601</v>
      </c>
      <c r="E1457" s="12">
        <v>1.17671814434163E-2</v>
      </c>
      <c r="F1457" s="8" t="s">
        <v>7286</v>
      </c>
      <c r="G1457" s="12" t="s">
        <v>18459</v>
      </c>
      <c r="H1457" s="12">
        <v>1</v>
      </c>
      <c r="I1457" s="13" t="str">
        <f>HYPERLINK("http://www.ncbi.nlm.nih.gov/gene/6181", "6181")</f>
        <v>6181</v>
      </c>
      <c r="J1457" s="13" t="str">
        <f>HYPERLINK("http://www.ncbi.nlm.nih.gov/nuccore/NM_001004", "NM_001004")</f>
        <v>NM_001004</v>
      </c>
      <c r="K1457" s="12" t="s">
        <v>7287</v>
      </c>
      <c r="L1457" s="13" t="str">
        <f>HYPERLINK("http://asia.ensembl.org/Homo_sapiens/Gene/Summary?g=ENSG00000177600", "ENSG00000177600")</f>
        <v>ENSG00000177600</v>
      </c>
      <c r="M1457" s="12" t="s">
        <v>18460</v>
      </c>
      <c r="N1457" s="12" t="s">
        <v>18461</v>
      </c>
    </row>
    <row r="1458" spans="1:14">
      <c r="A1458" s="12" t="s">
        <v>7686</v>
      </c>
      <c r="B1458" s="8">
        <v>418.78648072131602</v>
      </c>
      <c r="C1458" s="12">
        <v>883.30708316662299</v>
      </c>
      <c r="D1458" s="8">
        <v>-1.0767002104988299</v>
      </c>
      <c r="E1458" s="12">
        <v>6.9860603898956796E-3</v>
      </c>
      <c r="F1458" s="8" t="s">
        <v>7687</v>
      </c>
      <c r="G1458" s="12" t="s">
        <v>7688</v>
      </c>
      <c r="H1458" s="12">
        <v>1</v>
      </c>
      <c r="I1458" s="13" t="str">
        <f>HYPERLINK("http://www.ncbi.nlm.nih.gov/gene/55937", "55937")</f>
        <v>55937</v>
      </c>
      <c r="J1458" s="12" t="s">
        <v>18613</v>
      </c>
      <c r="K1458" s="12" t="s">
        <v>18614</v>
      </c>
      <c r="L1458" s="13" t="str">
        <f>HYPERLINK("http://asia.ensembl.org/Homo_sapiens/Gene/Summary?g=ENSG00000224290", "ENSG00000224290")</f>
        <v>ENSG00000224290</v>
      </c>
      <c r="M1458" s="12" t="s">
        <v>18615</v>
      </c>
      <c r="N1458" s="12" t="s">
        <v>18616</v>
      </c>
    </row>
    <row r="1459" spans="1:14">
      <c r="A1459" s="12" t="s">
        <v>6359</v>
      </c>
      <c r="B1459" s="8">
        <v>340.09223690180102</v>
      </c>
      <c r="C1459" s="12">
        <v>717.26473769755899</v>
      </c>
      <c r="D1459" s="8">
        <v>-1.0765796316557299</v>
      </c>
      <c r="E1459" s="12">
        <v>2.6917763104030101E-2</v>
      </c>
      <c r="F1459" s="8" t="s">
        <v>6360</v>
      </c>
      <c r="G1459" s="12" t="s">
        <v>6361</v>
      </c>
      <c r="H1459" s="12">
        <v>1</v>
      </c>
      <c r="I1459" s="13" t="str">
        <f>HYPERLINK("http://www.ncbi.nlm.nih.gov/gene/6295", "6295")</f>
        <v>6295</v>
      </c>
      <c r="J1459" s="13" t="str">
        <f>HYPERLINK("http://www.ncbi.nlm.nih.gov/nuccore/NM_000541", "NM_000541")</f>
        <v>NM_000541</v>
      </c>
      <c r="K1459" s="12" t="s">
        <v>6362</v>
      </c>
      <c r="L1459" s="13" t="str">
        <f>HYPERLINK("http://asia.ensembl.org/Homo_sapiens/Gene/Summary?g=ENSG00000281857", "ENSG00000281857")</f>
        <v>ENSG00000281857</v>
      </c>
      <c r="M1459" s="12" t="s">
        <v>18133</v>
      </c>
      <c r="N1459" s="12" t="s">
        <v>18134</v>
      </c>
    </row>
    <row r="1460" spans="1:14">
      <c r="A1460" s="12" t="s">
        <v>1340</v>
      </c>
      <c r="B1460" s="8">
        <v>56.526620212253803</v>
      </c>
      <c r="C1460" s="12">
        <v>119.198960260326</v>
      </c>
      <c r="D1460" s="8">
        <v>-1.0763693072356499</v>
      </c>
      <c r="E1460" s="12">
        <v>8.5072293164691597E-3</v>
      </c>
      <c r="F1460" s="8" t="s">
        <v>1341</v>
      </c>
      <c r="G1460" s="12" t="s">
        <v>1342</v>
      </c>
      <c r="H1460" s="12">
        <v>1</v>
      </c>
      <c r="I1460" s="13" t="str">
        <f>HYPERLINK("http://www.ncbi.nlm.nih.gov/gene/9597", "9597")</f>
        <v>9597</v>
      </c>
      <c r="J1460" s="13" t="str">
        <f>HYPERLINK("http://www.ncbi.nlm.nih.gov/nuccore/NR_026763", "NR_026763")</f>
        <v>NR_026763</v>
      </c>
      <c r="K1460" s="12" t="s">
        <v>199</v>
      </c>
      <c r="L1460" s="13" t="str">
        <f>HYPERLINK("http://asia.ensembl.org/Homo_sapiens/Gene/Summary?g=ENSG00000164621", "ENSG00000164621")</f>
        <v>ENSG00000164621</v>
      </c>
      <c r="M1460" s="12" t="s">
        <v>1343</v>
      </c>
    </row>
    <row r="1461" spans="1:14">
      <c r="A1461" s="12" t="s">
        <v>11747</v>
      </c>
      <c r="B1461" s="8">
        <v>888.86923056464195</v>
      </c>
      <c r="C1461" s="12">
        <v>1874.34533743514</v>
      </c>
      <c r="D1461" s="8">
        <v>-1.07634369370043</v>
      </c>
      <c r="E1461" s="12">
        <v>4.6460618300385604E-3</v>
      </c>
      <c r="F1461" s="8" t="s">
        <v>38</v>
      </c>
      <c r="G1461" s="12" t="s">
        <v>38</v>
      </c>
      <c r="H1461" s="12">
        <v>1</v>
      </c>
      <c r="I1461" s="12" t="s">
        <v>38</v>
      </c>
      <c r="J1461" s="12" t="s">
        <v>38</v>
      </c>
      <c r="K1461" s="12" t="s">
        <v>38</v>
      </c>
      <c r="L1461" s="13" t="str">
        <f>HYPERLINK("http://asia.ensembl.org/Homo_sapiens/Gene/Summary?g=ENSG00000203546", "ENSG00000203546")</f>
        <v>ENSG00000203546</v>
      </c>
      <c r="M1461" s="12" t="s">
        <v>11748</v>
      </c>
      <c r="N1461" s="12" t="s">
        <v>11749</v>
      </c>
    </row>
    <row r="1462" spans="1:14">
      <c r="A1462" s="12" t="s">
        <v>959</v>
      </c>
      <c r="B1462" s="8">
        <v>581.55986620944395</v>
      </c>
      <c r="C1462" s="12">
        <v>1226.29119927226</v>
      </c>
      <c r="D1462" s="8">
        <v>-1.0763019904076701</v>
      </c>
      <c r="E1462" s="12">
        <v>8.9651701593733695E-4</v>
      </c>
      <c r="F1462" s="8" t="s">
        <v>960</v>
      </c>
      <c r="G1462" s="12" t="s">
        <v>961</v>
      </c>
      <c r="H1462" s="12">
        <v>1</v>
      </c>
      <c r="I1462" s="13" t="str">
        <f>HYPERLINK("http://www.ncbi.nlm.nih.gov/gene/728769", "728769")</f>
        <v>728769</v>
      </c>
      <c r="J1462" s="13" t="str">
        <f>HYPERLINK("http://www.ncbi.nlm.nih.gov/nuccore/NR_105014", "NR_105014")</f>
        <v>NR_105014</v>
      </c>
      <c r="K1462" s="12" t="s">
        <v>199</v>
      </c>
      <c r="L1462" s="13" t="str">
        <f>HYPERLINK("http://asia.ensembl.org/Homo_sapiens/Gene/Summary?g=ENSG00000245556", "ENSG00000245556")</f>
        <v>ENSG00000245556</v>
      </c>
      <c r="M1462" s="12" t="s">
        <v>16474</v>
      </c>
    </row>
    <row r="1463" spans="1:14">
      <c r="A1463" s="12" t="s">
        <v>725</v>
      </c>
      <c r="B1463" s="8">
        <v>74.965967925589695</v>
      </c>
      <c r="C1463" s="12">
        <v>158.05628223963799</v>
      </c>
      <c r="D1463" s="8">
        <v>-1.07613066554978</v>
      </c>
      <c r="E1463" s="12">
        <v>2.77221326655562E-2</v>
      </c>
      <c r="F1463" s="8" t="s">
        <v>726</v>
      </c>
      <c r="G1463" s="12" t="s">
        <v>727</v>
      </c>
      <c r="H1463" s="12">
        <v>1</v>
      </c>
      <c r="I1463" s="13" t="str">
        <f>HYPERLINK("http://www.ncbi.nlm.nih.gov/gene/255738", "255738")</f>
        <v>255738</v>
      </c>
      <c r="J1463" s="13" t="str">
        <f>HYPERLINK("http://www.ncbi.nlm.nih.gov/nuccore/NM_174936", "NM_174936")</f>
        <v>NM_174936</v>
      </c>
      <c r="K1463" s="12" t="s">
        <v>728</v>
      </c>
      <c r="L1463" s="13" t="str">
        <f>HYPERLINK("http://asia.ensembl.org/Homo_sapiens/Gene/Summary?g=ENSG00000169174", "ENSG00000169174")</f>
        <v>ENSG00000169174</v>
      </c>
      <c r="M1463" s="12" t="s">
        <v>16426</v>
      </c>
      <c r="N1463" s="12" t="s">
        <v>729</v>
      </c>
    </row>
    <row r="1464" spans="1:14">
      <c r="A1464" s="12" t="s">
        <v>4486</v>
      </c>
      <c r="B1464" s="8">
        <v>2682.83943347901</v>
      </c>
      <c r="C1464" s="12">
        <v>5653.1764008785403</v>
      </c>
      <c r="D1464" s="8">
        <v>-1.0753010026908401</v>
      </c>
      <c r="E1464" s="12">
        <v>1.14198189405883E-2</v>
      </c>
      <c r="F1464" s="8" t="s">
        <v>4487</v>
      </c>
      <c r="G1464" s="12" t="s">
        <v>865</v>
      </c>
      <c r="H1464" s="12">
        <v>1</v>
      </c>
      <c r="I1464" s="13" t="str">
        <f>HYPERLINK("http://www.ncbi.nlm.nih.gov/gene/8242", "8242")</f>
        <v>8242</v>
      </c>
      <c r="J1464" s="12" t="s">
        <v>17697</v>
      </c>
      <c r="K1464" s="12" t="s">
        <v>17698</v>
      </c>
      <c r="L1464" s="13" t="str">
        <f>HYPERLINK("http://asia.ensembl.org/Homo_sapiens/Gene/Summary?g=ENSG00000126012", "ENSG00000126012")</f>
        <v>ENSG00000126012</v>
      </c>
      <c r="M1464" s="12" t="s">
        <v>17699</v>
      </c>
      <c r="N1464" s="12" t="s">
        <v>17700</v>
      </c>
    </row>
    <row r="1465" spans="1:14">
      <c r="A1465" s="12" t="s">
        <v>1709</v>
      </c>
      <c r="B1465" s="8">
        <v>13171.3898681597</v>
      </c>
      <c r="C1465" s="12">
        <v>27753.708934448401</v>
      </c>
      <c r="D1465" s="8">
        <v>-1.0752729930717599</v>
      </c>
      <c r="E1465" s="12">
        <v>7.9487618294787499E-3</v>
      </c>
      <c r="F1465" s="8" t="s">
        <v>1710</v>
      </c>
      <c r="G1465" s="12" t="s">
        <v>16767</v>
      </c>
      <c r="H1465" s="12">
        <v>1</v>
      </c>
      <c r="I1465" s="13" t="str">
        <f>HYPERLINK("http://www.ncbi.nlm.nih.gov/gene/14", "14")</f>
        <v>14</v>
      </c>
      <c r="J1465" s="13" t="str">
        <f>HYPERLINK("http://www.ncbi.nlm.nih.gov/nuccore/NM_001087", "NM_001087")</f>
        <v>NM_001087</v>
      </c>
      <c r="K1465" s="12" t="s">
        <v>1711</v>
      </c>
      <c r="L1465" s="13" t="str">
        <f>HYPERLINK("http://asia.ensembl.org/Homo_sapiens/Gene/Summary?g=ENSG00000127837", "ENSG00000127837")</f>
        <v>ENSG00000127837</v>
      </c>
      <c r="M1465" s="12" t="s">
        <v>16768</v>
      </c>
      <c r="N1465" s="12" t="s">
        <v>16769</v>
      </c>
    </row>
    <row r="1466" spans="1:14">
      <c r="A1466" s="12" t="s">
        <v>10359</v>
      </c>
      <c r="B1466" s="8">
        <v>1463.6035415113699</v>
      </c>
      <c r="C1466" s="12">
        <v>3083.7089617370498</v>
      </c>
      <c r="D1466" s="8">
        <v>-1.07514179943149</v>
      </c>
      <c r="E1466" s="12">
        <v>8.2773889436022294E-3</v>
      </c>
      <c r="F1466" s="8" t="s">
        <v>2850</v>
      </c>
      <c r="G1466" s="12" t="s">
        <v>2851</v>
      </c>
      <c r="H1466" s="12">
        <v>1</v>
      </c>
      <c r="I1466" s="13" t="str">
        <f>HYPERLINK("http://www.ncbi.nlm.nih.gov/gene/201299", "201299")</f>
        <v>201299</v>
      </c>
      <c r="J1466" s="12" t="s">
        <v>19693</v>
      </c>
      <c r="K1466" s="12" t="s">
        <v>19694</v>
      </c>
      <c r="L1466" s="13" t="str">
        <f>HYPERLINK("http://asia.ensembl.org/Homo_sapiens/Gene/Summary?g=ENSG00000276432", "ENSG00000276432")</f>
        <v>ENSG00000276432</v>
      </c>
      <c r="M1466" s="12" t="s">
        <v>19691</v>
      </c>
      <c r="N1466" s="12" t="s">
        <v>19692</v>
      </c>
    </row>
    <row r="1467" spans="1:14">
      <c r="A1467" s="12" t="s">
        <v>10884</v>
      </c>
      <c r="B1467" s="8">
        <v>5978.5340754025901</v>
      </c>
      <c r="C1467" s="12">
        <v>12594.5778428255</v>
      </c>
      <c r="D1467" s="8">
        <v>-1.0749390782831301</v>
      </c>
      <c r="E1467" s="12">
        <v>1.03981650330512E-4</v>
      </c>
      <c r="F1467" s="8" t="s">
        <v>10885</v>
      </c>
      <c r="G1467" s="12" t="s">
        <v>10886</v>
      </c>
      <c r="H1467" s="12">
        <v>4</v>
      </c>
      <c r="I1467" s="12" t="s">
        <v>10887</v>
      </c>
      <c r="J1467" s="12" t="s">
        <v>19888</v>
      </c>
      <c r="K1467" s="12" t="s">
        <v>19889</v>
      </c>
      <c r="L1467" s="12" t="s">
        <v>10888</v>
      </c>
      <c r="M1467" s="12" t="s">
        <v>19890</v>
      </c>
      <c r="N1467" s="12" t="s">
        <v>19891</v>
      </c>
    </row>
    <row r="1468" spans="1:14">
      <c r="A1468" s="12" t="s">
        <v>6627</v>
      </c>
      <c r="B1468" s="8">
        <v>233.615652773139</v>
      </c>
      <c r="C1468" s="12">
        <v>492.08324455667099</v>
      </c>
      <c r="D1468" s="8">
        <v>-1.0747654522496599</v>
      </c>
      <c r="E1468" s="12">
        <v>1.23240747003764E-2</v>
      </c>
      <c r="F1468" s="8" t="s">
        <v>6628</v>
      </c>
      <c r="G1468" s="12" t="s">
        <v>6629</v>
      </c>
      <c r="H1468" s="12">
        <v>1</v>
      </c>
      <c r="I1468" s="13" t="str">
        <f>HYPERLINK("http://www.ncbi.nlm.nih.gov/gene/5727", "5727")</f>
        <v>5727</v>
      </c>
      <c r="J1468" s="12" t="s">
        <v>18224</v>
      </c>
      <c r="K1468" s="12" t="s">
        <v>18225</v>
      </c>
      <c r="L1468" s="13" t="str">
        <f>HYPERLINK("http://asia.ensembl.org/Homo_sapiens/Gene/Summary?g=ENSG00000185920", "ENSG00000185920")</f>
        <v>ENSG00000185920</v>
      </c>
      <c r="M1468" s="12" t="s">
        <v>18226</v>
      </c>
      <c r="N1468" s="12" t="s">
        <v>18227</v>
      </c>
    </row>
    <row r="1469" spans="1:14">
      <c r="A1469" s="12" t="s">
        <v>7120</v>
      </c>
      <c r="B1469" s="8">
        <v>12889.404821931699</v>
      </c>
      <c r="C1469" s="12">
        <v>27148.624881540702</v>
      </c>
      <c r="D1469" s="8">
        <v>-1.0746934775213499</v>
      </c>
      <c r="E1469" s="12">
        <v>1.34817826324621E-3</v>
      </c>
      <c r="F1469" s="8" t="s">
        <v>7121</v>
      </c>
      <c r="G1469" s="12" t="s">
        <v>104</v>
      </c>
      <c r="H1469" s="12">
        <v>1</v>
      </c>
      <c r="I1469" s="13" t="str">
        <f>HYPERLINK("http://www.ncbi.nlm.nih.gov/gene/5440", "5440")</f>
        <v>5440</v>
      </c>
      <c r="J1469" s="13" t="str">
        <f>HYPERLINK("http://www.ncbi.nlm.nih.gov/nuccore/NM_005034", "NM_005034")</f>
        <v>NM_005034</v>
      </c>
      <c r="K1469" s="12" t="s">
        <v>7122</v>
      </c>
      <c r="L1469" s="13" t="str">
        <f>HYPERLINK("http://asia.ensembl.org/Homo_sapiens/Gene/Summary?g=ENSG00000147669", "ENSG00000147669")</f>
        <v>ENSG00000147669</v>
      </c>
      <c r="M1469" s="12" t="s">
        <v>18379</v>
      </c>
      <c r="N1469" s="12" t="s">
        <v>18380</v>
      </c>
    </row>
    <row r="1470" spans="1:14">
      <c r="A1470" s="12" t="s">
        <v>9369</v>
      </c>
      <c r="B1470" s="8">
        <v>283.425579454537</v>
      </c>
      <c r="C1470" s="12">
        <v>596.45903203640898</v>
      </c>
      <c r="D1470" s="8">
        <v>-1.0734530805253799</v>
      </c>
      <c r="E1470" s="12">
        <v>2.65261228272012E-4</v>
      </c>
      <c r="F1470" s="8" t="s">
        <v>9370</v>
      </c>
      <c r="G1470" s="12" t="s">
        <v>19138</v>
      </c>
      <c r="H1470" s="12">
        <v>1</v>
      </c>
      <c r="I1470" s="13" t="str">
        <f>HYPERLINK("http://www.ncbi.nlm.nih.gov/gene/8329", "8329")</f>
        <v>8329</v>
      </c>
      <c r="J1470" s="13" t="str">
        <f>HYPERLINK("http://www.ncbi.nlm.nih.gov/nuccore/NM_003509", "NM_003509")</f>
        <v>NM_003509</v>
      </c>
      <c r="K1470" s="12" t="s">
        <v>9371</v>
      </c>
      <c r="L1470" s="13" t="str">
        <f>HYPERLINK("http://asia.ensembl.org/Homo_sapiens/Gene/Summary?g=ENSG00000196747", "ENSG00000196747")</f>
        <v>ENSG00000196747</v>
      </c>
      <c r="M1470" s="12" t="s">
        <v>9372</v>
      </c>
      <c r="N1470" s="12" t="s">
        <v>9373</v>
      </c>
    </row>
    <row r="1471" spans="1:14">
      <c r="A1471" s="12" t="s">
        <v>5328</v>
      </c>
      <c r="B1471" s="8">
        <v>1247.8345082789699</v>
      </c>
      <c r="C1471" s="12">
        <v>2625.8322256746901</v>
      </c>
      <c r="D1471" s="8">
        <v>-1.0733481277961101</v>
      </c>
      <c r="E1471" s="12">
        <v>5.2405748608749299E-3</v>
      </c>
      <c r="F1471" s="8" t="s">
        <v>5329</v>
      </c>
      <c r="G1471" s="12" t="s">
        <v>17849</v>
      </c>
      <c r="H1471" s="12">
        <v>1</v>
      </c>
      <c r="I1471" s="13" t="str">
        <f>HYPERLINK("http://www.ncbi.nlm.nih.gov/gene/23368", "23368")</f>
        <v>23368</v>
      </c>
      <c r="J1471" s="13" t="str">
        <f>HYPERLINK("http://www.ncbi.nlm.nih.gov/nuccore/NM_015316", "NM_015316")</f>
        <v>NM_015316</v>
      </c>
      <c r="K1471" s="12" t="s">
        <v>5330</v>
      </c>
      <c r="L1471" s="13" t="str">
        <f>HYPERLINK("http://asia.ensembl.org/Homo_sapiens/Gene/Summary?g=ENSG00000088808", "ENSG00000088808")</f>
        <v>ENSG00000088808</v>
      </c>
      <c r="M1471" s="12" t="s">
        <v>17850</v>
      </c>
      <c r="N1471" s="12" t="s">
        <v>17851</v>
      </c>
    </row>
    <row r="1472" spans="1:14">
      <c r="A1472" s="12" t="s">
        <v>11129</v>
      </c>
      <c r="B1472" s="8">
        <v>30750.6158659381</v>
      </c>
      <c r="C1472" s="12">
        <v>64704.5929704886</v>
      </c>
      <c r="D1472" s="8">
        <v>-1.0732528189734001</v>
      </c>
      <c r="E1472" s="12">
        <v>9.8216315910700305E-3</v>
      </c>
      <c r="F1472" s="8" t="s">
        <v>7684</v>
      </c>
      <c r="G1472" s="12" t="s">
        <v>7685</v>
      </c>
      <c r="H1472" s="12">
        <v>1</v>
      </c>
      <c r="I1472" s="13" t="str">
        <f>HYPERLINK("http://www.ncbi.nlm.nih.gov/gene/10124", "10124")</f>
        <v>10124</v>
      </c>
      <c r="J1472" s="12" t="s">
        <v>19984</v>
      </c>
      <c r="K1472" s="12" t="s">
        <v>19985</v>
      </c>
      <c r="L1472" s="13" t="str">
        <f>HYPERLINK("http://asia.ensembl.org/Homo_sapiens/Gene/Summary?g=ENSG00000122644", "ENSG00000122644")</f>
        <v>ENSG00000122644</v>
      </c>
      <c r="M1472" s="12" t="s">
        <v>19986</v>
      </c>
      <c r="N1472" s="12" t="s">
        <v>19987</v>
      </c>
    </row>
    <row r="1473" spans="1:14">
      <c r="A1473" s="12" t="s">
        <v>1149</v>
      </c>
      <c r="B1473" s="8">
        <v>178.53367402178799</v>
      </c>
      <c r="C1473" s="12">
        <v>375.61992414724699</v>
      </c>
      <c r="D1473" s="8">
        <v>-1.07307737745142</v>
      </c>
      <c r="E1473" s="12">
        <v>2.3857155484938199E-2</v>
      </c>
      <c r="F1473" s="8" t="s">
        <v>1150</v>
      </c>
      <c r="G1473" s="12" t="s">
        <v>1151</v>
      </c>
      <c r="H1473" s="12">
        <v>1</v>
      </c>
      <c r="I1473" s="13" t="str">
        <f>HYPERLINK("http://www.ncbi.nlm.nih.gov/gene/130733", "130733")</f>
        <v>130733</v>
      </c>
      <c r="J1473" s="12" t="s">
        <v>16525</v>
      </c>
      <c r="K1473" s="12" t="s">
        <v>16526</v>
      </c>
      <c r="L1473" s="13" t="str">
        <f>HYPERLINK("http://asia.ensembl.org/Homo_sapiens/Gene/Summary?g=ENSG00000152154", "ENSG00000152154")</f>
        <v>ENSG00000152154</v>
      </c>
      <c r="M1473" s="12" t="s">
        <v>16527</v>
      </c>
      <c r="N1473" s="12" t="s">
        <v>16528</v>
      </c>
    </row>
    <row r="1474" spans="1:14">
      <c r="A1474" s="12" t="s">
        <v>7256</v>
      </c>
      <c r="B1474" s="8">
        <v>37746.8024595182</v>
      </c>
      <c r="C1474" s="12">
        <v>79401.592025146107</v>
      </c>
      <c r="D1474" s="8">
        <v>-1.07281349553711</v>
      </c>
      <c r="E1474" s="12">
        <v>6.4888850439025498E-3</v>
      </c>
      <c r="F1474" s="8" t="s">
        <v>7257</v>
      </c>
      <c r="G1474" s="12" t="s">
        <v>286</v>
      </c>
      <c r="H1474" s="12">
        <v>1</v>
      </c>
      <c r="I1474" s="13" t="str">
        <f>HYPERLINK("http://www.ncbi.nlm.nih.gov/gene/4713", "4713")</f>
        <v>4713</v>
      </c>
      <c r="J1474" s="13" t="str">
        <f>HYPERLINK("http://www.ncbi.nlm.nih.gov/nuccore/NM_004146", "NM_004146")</f>
        <v>NM_004146</v>
      </c>
      <c r="K1474" s="12" t="s">
        <v>7258</v>
      </c>
      <c r="L1474" s="13" t="str">
        <f>HYPERLINK("http://asia.ensembl.org/Homo_sapiens/Gene/Summary?g=ENSG00000099795", "ENSG00000099795")</f>
        <v>ENSG00000099795</v>
      </c>
      <c r="M1474" s="12" t="s">
        <v>18451</v>
      </c>
      <c r="N1474" s="12" t="s">
        <v>18452</v>
      </c>
    </row>
    <row r="1475" spans="1:14">
      <c r="A1475" s="12" t="s">
        <v>396</v>
      </c>
      <c r="B1475" s="8">
        <v>34700.271086456698</v>
      </c>
      <c r="C1475" s="12">
        <v>72971.879641689098</v>
      </c>
      <c r="D1475" s="8">
        <v>-1.0723936822990401</v>
      </c>
      <c r="E1475" s="12">
        <v>1.7843399204781E-3</v>
      </c>
      <c r="F1475" s="8" t="s">
        <v>397</v>
      </c>
      <c r="G1475" s="12" t="s">
        <v>398</v>
      </c>
      <c r="H1475" s="12">
        <v>1</v>
      </c>
      <c r="I1475" s="13" t="str">
        <f>HYPERLINK("http://www.ncbi.nlm.nih.gov/gene/51264", "51264")</f>
        <v>51264</v>
      </c>
      <c r="J1475" s="13" t="str">
        <f>HYPERLINK("http://www.ncbi.nlm.nih.gov/nuccore/NM_016504", "NM_016504")</f>
        <v>NM_016504</v>
      </c>
      <c r="K1475" s="12" t="s">
        <v>399</v>
      </c>
      <c r="L1475" s="13" t="str">
        <f>HYPERLINK("http://asia.ensembl.org/Homo_sapiens/Gene/Summary?g=ENSG00000108826", "ENSG00000108826")</f>
        <v>ENSG00000108826</v>
      </c>
      <c r="M1475" s="12" t="s">
        <v>16320</v>
      </c>
      <c r="N1475" s="12" t="s">
        <v>16321</v>
      </c>
    </row>
    <row r="1476" spans="1:14">
      <c r="A1476" s="12" t="s">
        <v>10114</v>
      </c>
      <c r="B1476" s="8">
        <v>1122.1442125139099</v>
      </c>
      <c r="C1476" s="12">
        <v>2358.5645675158498</v>
      </c>
      <c r="D1476" s="8">
        <v>-1.07165100028432</v>
      </c>
      <c r="E1476" s="12">
        <v>4.2070679002325099E-4</v>
      </c>
      <c r="F1476" s="8" t="s">
        <v>5366</v>
      </c>
      <c r="G1476" s="12" t="s">
        <v>5367</v>
      </c>
      <c r="H1476" s="12">
        <v>1</v>
      </c>
      <c r="I1476" s="13" t="str">
        <f>HYPERLINK("http://www.ncbi.nlm.nih.gov/gene/64236", "64236")</f>
        <v>64236</v>
      </c>
      <c r="J1476" s="13" t="str">
        <f>HYPERLINK("http://www.ncbi.nlm.nih.gov/nuccore/NM_021630", "NM_021630")</f>
        <v>NM_021630</v>
      </c>
      <c r="K1476" s="12" t="s">
        <v>10115</v>
      </c>
      <c r="L1476" s="13" t="str">
        <f>HYPERLINK("http://asia.ensembl.org/Homo_sapiens/Gene/Summary?g=ENSG00000120913", "ENSG00000120913")</f>
        <v>ENSG00000120913</v>
      </c>
      <c r="M1476" s="12" t="s">
        <v>19545</v>
      </c>
      <c r="N1476" s="12" t="s">
        <v>19546</v>
      </c>
    </row>
    <row r="1477" spans="1:14">
      <c r="A1477" s="12" t="s">
        <v>3308</v>
      </c>
      <c r="B1477" s="8">
        <v>13462.907688032999</v>
      </c>
      <c r="C1477" s="12">
        <v>28295.249386459302</v>
      </c>
      <c r="D1477" s="8">
        <v>-1.07156981941062</v>
      </c>
      <c r="E1477" s="12">
        <v>6.1926110175100097E-3</v>
      </c>
      <c r="F1477" s="8" t="s">
        <v>3309</v>
      </c>
      <c r="G1477" s="12" t="s">
        <v>3310</v>
      </c>
      <c r="H1477" s="12">
        <v>1</v>
      </c>
      <c r="I1477" s="13" t="str">
        <f>HYPERLINK("http://www.ncbi.nlm.nih.gov/gene/4201", "4201")</f>
        <v>4201</v>
      </c>
      <c r="J1477" s="13" t="str">
        <f>HYPERLINK("http://www.ncbi.nlm.nih.gov/nuccore/NM_014623", "NM_014623")</f>
        <v>NM_014623</v>
      </c>
      <c r="K1477" s="12" t="s">
        <v>3311</v>
      </c>
      <c r="L1477" s="13" t="str">
        <f>HYPERLINK("http://asia.ensembl.org/Homo_sapiens/Gene/Summary?g=ENSG00000124733", "ENSG00000124733")</f>
        <v>ENSG00000124733</v>
      </c>
      <c r="M1477" s="12" t="s">
        <v>3312</v>
      </c>
      <c r="N1477" s="12" t="s">
        <v>3313</v>
      </c>
    </row>
    <row r="1478" spans="1:14">
      <c r="A1478" s="12" t="s">
        <v>2698</v>
      </c>
      <c r="B1478" s="8">
        <v>336.00281392163402</v>
      </c>
      <c r="C1478" s="12">
        <v>706.10244657715805</v>
      </c>
      <c r="D1478" s="8">
        <v>-1.0714042003855899</v>
      </c>
      <c r="E1478" s="12">
        <v>1.39087238928348E-2</v>
      </c>
      <c r="F1478" s="8" t="s">
        <v>2699</v>
      </c>
      <c r="G1478" s="12" t="s">
        <v>2700</v>
      </c>
      <c r="H1478" s="12">
        <v>1</v>
      </c>
      <c r="I1478" s="13" t="str">
        <f>HYPERLINK("http://www.ncbi.nlm.nih.gov/gene/23026", "23026")</f>
        <v>23026</v>
      </c>
      <c r="J1478" s="12" t="s">
        <v>17081</v>
      </c>
      <c r="K1478" s="12" t="s">
        <v>17082</v>
      </c>
      <c r="L1478" s="13" t="str">
        <f>HYPERLINK("http://asia.ensembl.org/Homo_sapiens/Gene/Summary?g=ENSG00000041515", "ENSG00000041515")</f>
        <v>ENSG00000041515</v>
      </c>
      <c r="M1478" s="12" t="s">
        <v>17083</v>
      </c>
      <c r="N1478" s="12" t="s">
        <v>17084</v>
      </c>
    </row>
    <row r="1479" spans="1:14">
      <c r="A1479" s="12" t="s">
        <v>181</v>
      </c>
      <c r="B1479" s="8">
        <v>629.13969460248404</v>
      </c>
      <c r="C1479" s="12">
        <v>1321.83501445705</v>
      </c>
      <c r="D1479" s="8">
        <v>-1.07108982256367</v>
      </c>
      <c r="E1479" s="12">
        <v>5.6799631312742602E-3</v>
      </c>
      <c r="F1479" s="8" t="s">
        <v>182</v>
      </c>
      <c r="G1479" s="12" t="s">
        <v>183</v>
      </c>
      <c r="H1479" s="12">
        <v>1</v>
      </c>
      <c r="I1479" s="13" t="str">
        <f>HYPERLINK("http://www.ncbi.nlm.nih.gov/gene/4987", "4987")</f>
        <v>4987</v>
      </c>
      <c r="J1479" s="12" t="s">
        <v>16274</v>
      </c>
      <c r="K1479" s="12" t="s">
        <v>16275</v>
      </c>
      <c r="L1479" s="13" t="str">
        <f>HYPERLINK("http://asia.ensembl.org/Homo_sapiens/Gene/Summary?g=ENSG00000277044", "ENSG00000277044")</f>
        <v>ENSG00000277044</v>
      </c>
      <c r="M1479" s="12" t="s">
        <v>16276</v>
      </c>
      <c r="N1479" s="12" t="s">
        <v>16277</v>
      </c>
    </row>
    <row r="1480" spans="1:14">
      <c r="A1480" s="12" t="s">
        <v>8280</v>
      </c>
      <c r="B1480" s="8">
        <v>56190.326383547501</v>
      </c>
      <c r="C1480" s="12">
        <v>118037.38848944299</v>
      </c>
      <c r="D1480" s="8">
        <v>-1.0708502220371201</v>
      </c>
      <c r="E1480" s="12">
        <v>4.8768904118995197E-3</v>
      </c>
      <c r="F1480" s="8" t="s">
        <v>7164</v>
      </c>
      <c r="G1480" s="12" t="s">
        <v>7165</v>
      </c>
      <c r="H1480" s="12">
        <v>4</v>
      </c>
      <c r="I1480" s="12" t="s">
        <v>7166</v>
      </c>
      <c r="J1480" s="12" t="s">
        <v>7167</v>
      </c>
      <c r="K1480" s="12" t="s">
        <v>7168</v>
      </c>
      <c r="L1480" s="13" t="str">
        <f>HYPERLINK("http://asia.ensembl.org/Homo_sapiens/Gene/Summary?g=ENSG00000122026", "ENSG00000122026")</f>
        <v>ENSG00000122026</v>
      </c>
      <c r="M1480" s="12" t="s">
        <v>18654</v>
      </c>
      <c r="N1480" s="12" t="s">
        <v>18655</v>
      </c>
    </row>
    <row r="1481" spans="1:14">
      <c r="A1481" s="12" t="s">
        <v>11025</v>
      </c>
      <c r="B1481" s="8">
        <v>120.10162623386699</v>
      </c>
      <c r="C1481" s="12">
        <v>252.26438653915201</v>
      </c>
      <c r="D1481" s="8">
        <v>-1.07068086204935</v>
      </c>
      <c r="E1481" s="12">
        <v>7.4030430262371299E-5</v>
      </c>
      <c r="F1481" s="8" t="s">
        <v>3589</v>
      </c>
      <c r="G1481" s="12" t="s">
        <v>3590</v>
      </c>
      <c r="H1481" s="12">
        <v>1</v>
      </c>
      <c r="I1481" s="13" t="str">
        <f>HYPERLINK("http://www.ncbi.nlm.nih.gov/gene/158046", "158046")</f>
        <v>158046</v>
      </c>
      <c r="J1481" s="13" t="str">
        <f>HYPERLINK("http://www.ncbi.nlm.nih.gov/nuccore/NM_001161625", "NM_001161625")</f>
        <v>NM_001161625</v>
      </c>
      <c r="K1481" s="12" t="s">
        <v>11026</v>
      </c>
      <c r="L1481" s="13" t="str">
        <f>HYPERLINK("http://asia.ensembl.org/Homo_sapiens/Gene/Summary?g=ENSG00000130045", "ENSG00000130045")</f>
        <v>ENSG00000130045</v>
      </c>
      <c r="M1481" s="12" t="s">
        <v>19929</v>
      </c>
      <c r="N1481" s="12" t="s">
        <v>19930</v>
      </c>
    </row>
    <row r="1482" spans="1:14">
      <c r="A1482" s="12" t="s">
        <v>7385</v>
      </c>
      <c r="B1482" s="8">
        <v>1291.0567084270001</v>
      </c>
      <c r="C1482" s="12">
        <v>2711.7362706665599</v>
      </c>
      <c r="D1482" s="8">
        <v>-1.07066450526565</v>
      </c>
      <c r="E1482" s="12">
        <v>3.40677996160519E-3</v>
      </c>
      <c r="F1482" s="8" t="s">
        <v>7386</v>
      </c>
      <c r="G1482" s="12" t="s">
        <v>18501</v>
      </c>
      <c r="H1482" s="12">
        <v>1</v>
      </c>
      <c r="I1482" s="13" t="str">
        <f>HYPERLINK("http://www.ncbi.nlm.nih.gov/gene/9510", "9510")</f>
        <v>9510</v>
      </c>
      <c r="J1482" s="13" t="str">
        <f>HYPERLINK("http://www.ncbi.nlm.nih.gov/nuccore/NM_006988", "NM_006988")</f>
        <v>NM_006988</v>
      </c>
      <c r="K1482" s="12" t="s">
        <v>7387</v>
      </c>
      <c r="L1482" s="13" t="str">
        <f>HYPERLINK("http://asia.ensembl.org/Homo_sapiens/Gene/Summary?g=ENSG00000154734", "ENSG00000154734")</f>
        <v>ENSG00000154734</v>
      </c>
      <c r="M1482" s="12" t="s">
        <v>18502</v>
      </c>
      <c r="N1482" s="12" t="s">
        <v>18503</v>
      </c>
    </row>
    <row r="1483" spans="1:14">
      <c r="A1483" s="12" t="s">
        <v>5339</v>
      </c>
      <c r="B1483" s="8">
        <v>1917.3936360402899</v>
      </c>
      <c r="C1483" s="12">
        <v>4026.47832597672</v>
      </c>
      <c r="D1483" s="8">
        <v>-1.07037201853263</v>
      </c>
      <c r="E1483" s="12">
        <v>5.3118038954263298E-3</v>
      </c>
      <c r="F1483" s="8" t="s">
        <v>5340</v>
      </c>
      <c r="G1483" s="12" t="s">
        <v>17854</v>
      </c>
      <c r="H1483" s="12">
        <v>1</v>
      </c>
      <c r="I1483" s="13" t="str">
        <f>HYPERLINK("http://www.ncbi.nlm.nih.gov/gene/10327", "10327")</f>
        <v>10327</v>
      </c>
      <c r="J1483" s="12" t="s">
        <v>17855</v>
      </c>
      <c r="K1483" s="12" t="s">
        <v>17856</v>
      </c>
      <c r="L1483" s="13" t="str">
        <f>HYPERLINK("http://asia.ensembl.org/Homo_sapiens/Gene/Summary?g=ENSG00000117448", "ENSG00000117448")</f>
        <v>ENSG00000117448</v>
      </c>
      <c r="M1483" s="12" t="s">
        <v>17857</v>
      </c>
      <c r="N1483" s="12" t="s">
        <v>17858</v>
      </c>
    </row>
    <row r="1484" spans="1:14">
      <c r="A1484" s="12" t="s">
        <v>4532</v>
      </c>
      <c r="B1484" s="8">
        <v>20852.896570156099</v>
      </c>
      <c r="C1484" s="12">
        <v>43790.003497476202</v>
      </c>
      <c r="D1484" s="8">
        <v>-1.0703537699733701</v>
      </c>
      <c r="E1484" s="12">
        <v>4.9884036887311604E-3</v>
      </c>
      <c r="F1484" s="8" t="s">
        <v>4533</v>
      </c>
      <c r="G1484" s="12" t="s">
        <v>4534</v>
      </c>
      <c r="H1484" s="12">
        <v>1</v>
      </c>
      <c r="I1484" s="13" t="str">
        <f>HYPERLINK("http://www.ncbi.nlm.nih.gov/gene/80349", "80349")</f>
        <v>80349</v>
      </c>
      <c r="J1484" s="13" t="str">
        <f>HYPERLINK("http://www.ncbi.nlm.nih.gov/nuccore/NM_025234", "NM_025234")</f>
        <v>NM_025234</v>
      </c>
      <c r="K1484" s="12" t="s">
        <v>4535</v>
      </c>
      <c r="L1484" s="13" t="str">
        <f>HYPERLINK("http://asia.ensembl.org/Homo_sapiens/Gene/Summary?g=ENSG00000140395", "ENSG00000140395")</f>
        <v>ENSG00000140395</v>
      </c>
      <c r="M1484" s="12" t="s">
        <v>17709</v>
      </c>
      <c r="N1484" s="12" t="s">
        <v>17710</v>
      </c>
    </row>
    <row r="1485" spans="1:14">
      <c r="A1485" s="12" t="s">
        <v>5916</v>
      </c>
      <c r="B1485" s="8">
        <v>117.56034220808</v>
      </c>
      <c r="C1485" s="12">
        <v>246.80363594073199</v>
      </c>
      <c r="D1485" s="8">
        <v>-1.0699621849304599</v>
      </c>
      <c r="E1485" s="12">
        <v>3.2441870513275503E-2</v>
      </c>
      <c r="F1485" s="8" t="s">
        <v>5917</v>
      </c>
      <c r="G1485" s="12" t="s">
        <v>5918</v>
      </c>
      <c r="H1485" s="12">
        <v>1</v>
      </c>
      <c r="I1485" s="13" t="str">
        <f>HYPERLINK("http://www.ncbi.nlm.nih.gov/gene/150372", "150372")</f>
        <v>150372</v>
      </c>
      <c r="J1485" s="13" t="str">
        <f>HYPERLINK("http://www.ncbi.nlm.nih.gov/nuccore/NM_145912", "NM_145912")</f>
        <v>NM_145912</v>
      </c>
      <c r="K1485" s="12" t="s">
        <v>5919</v>
      </c>
      <c r="L1485" s="13" t="str">
        <f>HYPERLINK("http://asia.ensembl.org/Homo_sapiens/Gene/Summary?g=ENSG00000235568", "ENSG00000235568")</f>
        <v>ENSG00000235568</v>
      </c>
      <c r="M1485" s="12" t="s">
        <v>18008</v>
      </c>
      <c r="N1485" s="12" t="s">
        <v>18009</v>
      </c>
    </row>
    <row r="1486" spans="1:14">
      <c r="A1486" s="12" t="s">
        <v>1351</v>
      </c>
      <c r="B1486" s="8">
        <v>33582.286704984297</v>
      </c>
      <c r="C1486" s="12">
        <v>70489.828386108406</v>
      </c>
      <c r="D1486" s="8">
        <v>-1.0697146225683301</v>
      </c>
      <c r="E1486" s="12">
        <v>1.01266064352112E-2</v>
      </c>
      <c r="F1486" s="8" t="s">
        <v>1352</v>
      </c>
      <c r="G1486" s="12" t="s">
        <v>1353</v>
      </c>
      <c r="H1486" s="12">
        <v>1</v>
      </c>
      <c r="I1486" s="13" t="str">
        <f>HYPERLINK("http://www.ncbi.nlm.nih.gov/gene/388962", "388962")</f>
        <v>388962</v>
      </c>
      <c r="J1486" s="12" t="s">
        <v>16584</v>
      </c>
      <c r="K1486" s="12" t="s">
        <v>16585</v>
      </c>
      <c r="L1486" s="13" t="str">
        <f>HYPERLINK("http://asia.ensembl.org/Homo_sapiens/Gene/Summary?g=ENSG00000163170", "ENSG00000163170")</f>
        <v>ENSG00000163170</v>
      </c>
      <c r="M1486" s="12" t="s">
        <v>16586</v>
      </c>
      <c r="N1486" s="12" t="s">
        <v>16587</v>
      </c>
    </row>
    <row r="1487" spans="1:14">
      <c r="A1487" s="12" t="s">
        <v>10440</v>
      </c>
      <c r="B1487" s="8">
        <v>107.152367814011</v>
      </c>
      <c r="C1487" s="12">
        <v>224.889106164829</v>
      </c>
      <c r="D1487" s="8">
        <v>-1.06955004681701</v>
      </c>
      <c r="E1487" s="12">
        <v>4.8646470837659897E-2</v>
      </c>
      <c r="F1487" s="8" t="s">
        <v>10441</v>
      </c>
      <c r="G1487" s="12" t="s">
        <v>19740</v>
      </c>
      <c r="H1487" s="12">
        <v>1</v>
      </c>
      <c r="I1487" s="13" t="str">
        <f>HYPERLINK("http://www.ncbi.nlm.nih.gov/gene/55370", "55370")</f>
        <v>55370</v>
      </c>
      <c r="J1487" s="13" t="str">
        <f>HYPERLINK("http://www.ncbi.nlm.nih.gov/nuccore/NR_003505", "NR_003505")</f>
        <v>NR_003505</v>
      </c>
      <c r="K1487" s="12" t="s">
        <v>199</v>
      </c>
      <c r="L1487" s="12" t="s">
        <v>38</v>
      </c>
      <c r="M1487" s="12" t="s">
        <v>38</v>
      </c>
      <c r="N1487" s="12" t="s">
        <v>38</v>
      </c>
    </row>
    <row r="1488" spans="1:14">
      <c r="A1488" s="12" t="s">
        <v>187</v>
      </c>
      <c r="B1488" s="8">
        <v>98.786113727900798</v>
      </c>
      <c r="C1488" s="12">
        <v>207.313406416063</v>
      </c>
      <c r="D1488" s="8">
        <v>-1.06943325190586</v>
      </c>
      <c r="E1488" s="12">
        <v>2.85643288084528E-4</v>
      </c>
      <c r="F1488" s="8" t="s">
        <v>188</v>
      </c>
      <c r="G1488" s="12" t="s">
        <v>189</v>
      </c>
      <c r="H1488" s="12">
        <v>1</v>
      </c>
      <c r="I1488" s="13" t="str">
        <f>HYPERLINK("http://www.ncbi.nlm.nih.gov/gene/7141", "7141")</f>
        <v>7141</v>
      </c>
      <c r="J1488" s="13" t="str">
        <f>HYPERLINK("http://www.ncbi.nlm.nih.gov/nuccore/NM_003284", "NM_003284")</f>
        <v>NM_003284</v>
      </c>
      <c r="K1488" s="12" t="s">
        <v>190</v>
      </c>
      <c r="L1488" s="13" t="str">
        <f>HYPERLINK("http://asia.ensembl.org/Homo_sapiens/Gene/Summary?g=ENSG00000118245", "ENSG00000118245")</f>
        <v>ENSG00000118245</v>
      </c>
      <c r="M1488" s="12" t="s">
        <v>191</v>
      </c>
      <c r="N1488" s="12" t="s">
        <v>192</v>
      </c>
    </row>
    <row r="1489" spans="1:14">
      <c r="A1489" s="12" t="s">
        <v>8903</v>
      </c>
      <c r="B1489" s="8">
        <v>2015.17762479763</v>
      </c>
      <c r="C1489" s="12">
        <v>4228.8833627317499</v>
      </c>
      <c r="D1489" s="8">
        <v>-1.0693697612545701</v>
      </c>
      <c r="E1489" s="12">
        <v>6.3330183902304098E-3</v>
      </c>
      <c r="F1489" s="8" t="s">
        <v>2501</v>
      </c>
      <c r="G1489" s="12" t="s">
        <v>19002</v>
      </c>
      <c r="H1489" s="12">
        <v>1</v>
      </c>
      <c r="I1489" s="13" t="str">
        <f>HYPERLINK("http://www.ncbi.nlm.nih.gov/gene/10229", "10229")</f>
        <v>10229</v>
      </c>
      <c r="J1489" s="12" t="s">
        <v>19003</v>
      </c>
      <c r="K1489" s="12" t="s">
        <v>19004</v>
      </c>
      <c r="L1489" s="13" t="str">
        <f>HYPERLINK("http://asia.ensembl.org/Homo_sapiens/Gene/Summary?g=ENSG00000167186", "ENSG00000167186")</f>
        <v>ENSG00000167186</v>
      </c>
      <c r="M1489" s="12" t="s">
        <v>19005</v>
      </c>
      <c r="N1489" s="12" t="s">
        <v>19006</v>
      </c>
    </row>
    <row r="1490" spans="1:14">
      <c r="A1490" s="12" t="s">
        <v>2515</v>
      </c>
      <c r="B1490" s="8">
        <v>53.893904058113201</v>
      </c>
      <c r="C1490" s="12">
        <v>113.088338630566</v>
      </c>
      <c r="D1490" s="8">
        <v>-1.0692561660942901</v>
      </c>
      <c r="E1490" s="12">
        <v>1.22949260973912E-2</v>
      </c>
      <c r="F1490" s="8" t="s">
        <v>2516</v>
      </c>
      <c r="G1490" s="12" t="s">
        <v>2517</v>
      </c>
      <c r="H1490" s="12">
        <v>1</v>
      </c>
      <c r="I1490" s="13" t="str">
        <f>HYPERLINK("http://www.ncbi.nlm.nih.gov/gene/55034", "55034")</f>
        <v>55034</v>
      </c>
      <c r="J1490" s="13" t="str">
        <f>HYPERLINK("http://www.ncbi.nlm.nih.gov/nuccore/NM_017947", "NM_017947")</f>
        <v>NM_017947</v>
      </c>
      <c r="K1490" s="12" t="s">
        <v>2518</v>
      </c>
      <c r="L1490" s="13" t="str">
        <f>HYPERLINK("http://asia.ensembl.org/Homo_sapiens/Gene/Summary?g=ENSG00000075643", "ENSG00000075643")</f>
        <v>ENSG00000075643</v>
      </c>
      <c r="M1490" s="12" t="s">
        <v>17020</v>
      </c>
      <c r="N1490" s="12" t="s">
        <v>2519</v>
      </c>
    </row>
    <row r="1491" spans="1:14">
      <c r="A1491" s="12" t="s">
        <v>1508</v>
      </c>
      <c r="B1491" s="8">
        <v>5336.75397663689</v>
      </c>
      <c r="C1491" s="12">
        <v>11197.986595820899</v>
      </c>
      <c r="D1491" s="8">
        <v>-1.0692049482347601</v>
      </c>
      <c r="E1491" s="12">
        <v>3.49940122277291E-3</v>
      </c>
      <c r="F1491" s="8" t="s">
        <v>1509</v>
      </c>
      <c r="G1491" s="12" t="s">
        <v>1510</v>
      </c>
      <c r="H1491" s="12">
        <v>1</v>
      </c>
      <c r="I1491" s="13" t="str">
        <f>HYPERLINK("http://www.ncbi.nlm.nih.gov/gene/4351", "4351")</f>
        <v>4351</v>
      </c>
      <c r="J1491" s="13" t="str">
        <f>HYPERLINK("http://www.ncbi.nlm.nih.gov/nuccore/NM_002435", "NM_002435")</f>
        <v>NM_002435</v>
      </c>
      <c r="K1491" s="12" t="s">
        <v>1511</v>
      </c>
      <c r="L1491" s="13" t="str">
        <f>HYPERLINK("http://asia.ensembl.org/Homo_sapiens/Gene/Summary?g=ENSG00000178802", "ENSG00000178802")</f>
        <v>ENSG00000178802</v>
      </c>
      <c r="M1491" s="12" t="s">
        <v>16658</v>
      </c>
      <c r="N1491" s="12" t="s">
        <v>16659</v>
      </c>
    </row>
    <row r="1492" spans="1:14">
      <c r="A1492" s="12" t="s">
        <v>3636</v>
      </c>
      <c r="B1492" s="8">
        <v>1661.2650017700601</v>
      </c>
      <c r="C1492" s="12">
        <v>3485.1951908808601</v>
      </c>
      <c r="D1492" s="8">
        <v>-1.06895722996544</v>
      </c>
      <c r="E1492" s="12">
        <v>4.8216198942993499E-3</v>
      </c>
      <c r="F1492" s="8" t="s">
        <v>3637</v>
      </c>
      <c r="G1492" s="12" t="s">
        <v>3638</v>
      </c>
      <c r="H1492" s="12">
        <v>1</v>
      </c>
      <c r="I1492" s="13" t="str">
        <f>HYPERLINK("http://www.ncbi.nlm.nih.gov/gene/83707", "83707")</f>
        <v>83707</v>
      </c>
      <c r="J1492" s="12" t="s">
        <v>17361</v>
      </c>
      <c r="K1492" s="12" t="s">
        <v>17362</v>
      </c>
      <c r="L1492" s="13" t="str">
        <f>HYPERLINK("http://asia.ensembl.org/Homo_sapiens/Gene/Summary?g=ENSG00000149743", "ENSG00000149743")</f>
        <v>ENSG00000149743</v>
      </c>
      <c r="M1492" s="12" t="s">
        <v>17363</v>
      </c>
      <c r="N1492" s="12" t="s">
        <v>17364</v>
      </c>
    </row>
    <row r="1493" spans="1:14">
      <c r="A1493" s="12" t="s">
        <v>9889</v>
      </c>
      <c r="B1493" s="8">
        <v>2045.3948396738299</v>
      </c>
      <c r="C1493" s="12">
        <v>4290.1756364993598</v>
      </c>
      <c r="D1493" s="8">
        <v>-1.06865734622081</v>
      </c>
      <c r="E1493" s="12">
        <v>9.5356143531001598E-3</v>
      </c>
      <c r="F1493" s="8" t="s">
        <v>9890</v>
      </c>
      <c r="G1493" s="12" t="s">
        <v>9891</v>
      </c>
      <c r="H1493" s="12">
        <v>1</v>
      </c>
      <c r="I1493" s="13" t="str">
        <f>HYPERLINK("http://www.ncbi.nlm.nih.gov/gene/6160", "6160")</f>
        <v>6160</v>
      </c>
      <c r="J1493" s="12" t="s">
        <v>19397</v>
      </c>
      <c r="K1493" s="12" t="s">
        <v>19398</v>
      </c>
      <c r="L1493" s="13" t="str">
        <f>HYPERLINK("http://asia.ensembl.org/Homo_sapiens/Gene/Summary?g=ENSG00000071082", "ENSG00000071082")</f>
        <v>ENSG00000071082</v>
      </c>
      <c r="M1493" s="12" t="s">
        <v>19399</v>
      </c>
      <c r="N1493" s="12" t="s">
        <v>19400</v>
      </c>
    </row>
    <row r="1494" spans="1:14">
      <c r="A1494" s="12" t="s">
        <v>2405</v>
      </c>
      <c r="B1494" s="8">
        <v>297.21962888741899</v>
      </c>
      <c r="C1494" s="12">
        <v>623.12775464007098</v>
      </c>
      <c r="D1494" s="8">
        <v>-1.0679985801532801</v>
      </c>
      <c r="E1494" s="12">
        <v>2.4482742187181199E-2</v>
      </c>
      <c r="F1494" s="8" t="s">
        <v>2406</v>
      </c>
      <c r="G1494" s="12" t="s">
        <v>2407</v>
      </c>
      <c r="H1494" s="12">
        <v>1</v>
      </c>
      <c r="I1494" s="13" t="str">
        <f>HYPERLINK("http://www.ncbi.nlm.nih.gov/gene/133923", "133923")</f>
        <v>133923</v>
      </c>
      <c r="J1494" s="13" t="str">
        <f>HYPERLINK("http://www.ncbi.nlm.nih.gov/nuccore/NM_207317", "NM_207317")</f>
        <v>NM_207317</v>
      </c>
      <c r="K1494" s="12" t="s">
        <v>2408</v>
      </c>
      <c r="L1494" s="13" t="str">
        <f>HYPERLINK("http://asia.ensembl.org/Homo_sapiens/Gene/Summary?g=ENSG00000164185", "ENSG00000164185")</f>
        <v>ENSG00000164185</v>
      </c>
      <c r="M1494" s="12" t="s">
        <v>16994</v>
      </c>
      <c r="N1494" s="12" t="s">
        <v>16995</v>
      </c>
    </row>
    <row r="1495" spans="1:14">
      <c r="A1495" s="12" t="s">
        <v>7355</v>
      </c>
      <c r="B1495" s="8">
        <v>936.91629635272602</v>
      </c>
      <c r="C1495" s="12">
        <v>1963.4879466663101</v>
      </c>
      <c r="D1495" s="8">
        <v>-1.0674266726285</v>
      </c>
      <c r="E1495" s="12">
        <v>2.0203254730511199E-3</v>
      </c>
      <c r="F1495" s="8" t="s">
        <v>7356</v>
      </c>
      <c r="G1495" s="12" t="s">
        <v>7357</v>
      </c>
      <c r="H1495" s="12">
        <v>1</v>
      </c>
      <c r="I1495" s="13" t="str">
        <f>HYPERLINK("http://www.ncbi.nlm.nih.gov/gene/246330", "246330")</f>
        <v>246330</v>
      </c>
      <c r="J1495" s="12" t="s">
        <v>18486</v>
      </c>
      <c r="K1495" s="12" t="s">
        <v>18487</v>
      </c>
      <c r="L1495" s="13" t="str">
        <f>HYPERLINK("http://asia.ensembl.org/Homo_sapiens/Gene/Summary?g=ENSG00000174516", "ENSG00000174516")</f>
        <v>ENSG00000174516</v>
      </c>
      <c r="M1495" s="12" t="s">
        <v>18488</v>
      </c>
      <c r="N1495" s="12" t="s">
        <v>18489</v>
      </c>
    </row>
    <row r="1496" spans="1:14">
      <c r="A1496" s="12" t="s">
        <v>7985</v>
      </c>
      <c r="B1496" s="8">
        <v>15288.8224288647</v>
      </c>
      <c r="C1496" s="12">
        <v>32035.717377671401</v>
      </c>
      <c r="D1496" s="8">
        <v>-1.06720400506806</v>
      </c>
      <c r="E1496" s="12">
        <v>5.1111680695998104E-3</v>
      </c>
      <c r="F1496" s="8" t="s">
        <v>7986</v>
      </c>
      <c r="G1496" s="12" t="s">
        <v>18693</v>
      </c>
      <c r="H1496" s="12">
        <v>1</v>
      </c>
      <c r="I1496" s="13" t="str">
        <f>HYPERLINK("http://www.ncbi.nlm.nih.gov/gene/5300", "5300")</f>
        <v>5300</v>
      </c>
      <c r="J1496" s="12" t="s">
        <v>18694</v>
      </c>
      <c r="K1496" s="12" t="s">
        <v>18695</v>
      </c>
      <c r="L1496" s="13" t="str">
        <f>HYPERLINK("http://asia.ensembl.org/Homo_sapiens/Gene/Summary?g=ENSG00000127445", "ENSG00000127445")</f>
        <v>ENSG00000127445</v>
      </c>
      <c r="M1496" s="12" t="s">
        <v>18696</v>
      </c>
      <c r="N1496" s="12" t="s">
        <v>18697</v>
      </c>
    </row>
    <row r="1497" spans="1:14">
      <c r="A1497" s="12" t="s">
        <v>1446</v>
      </c>
      <c r="B1497" s="8">
        <v>55.9727497913387</v>
      </c>
      <c r="C1497" s="12">
        <v>117.237856491786</v>
      </c>
      <c r="D1497" s="14">
        <v>-1.0666419656591699</v>
      </c>
      <c r="E1497" s="16">
        <v>2.17869699907286E-2</v>
      </c>
      <c r="F1497" s="14" t="s">
        <v>1447</v>
      </c>
      <c r="G1497" s="12" t="s">
        <v>1448</v>
      </c>
      <c r="H1497" s="12">
        <v>1</v>
      </c>
      <c r="I1497" s="13" t="str">
        <f>HYPERLINK("http://www.ncbi.nlm.nih.gov/gene/7422", "7422")</f>
        <v>7422</v>
      </c>
      <c r="J1497" s="12" t="s">
        <v>16632</v>
      </c>
      <c r="K1497" s="12" t="s">
        <v>16633</v>
      </c>
      <c r="L1497" s="13" t="str">
        <f>HYPERLINK("http://asia.ensembl.org/Homo_sapiens/Gene/Summary?g=ENSG00000112715", "ENSG00000112715")</f>
        <v>ENSG00000112715</v>
      </c>
      <c r="M1497" s="12" t="s">
        <v>16634</v>
      </c>
      <c r="N1497" s="12" t="s">
        <v>16635</v>
      </c>
    </row>
    <row r="1498" spans="1:14">
      <c r="A1498" s="12" t="s">
        <v>5662</v>
      </c>
      <c r="B1498" s="8">
        <v>1674.3644336985001</v>
      </c>
      <c r="C1498" s="12">
        <v>3506.9340530959098</v>
      </c>
      <c r="D1498" s="8">
        <v>-1.0665967295974701</v>
      </c>
      <c r="E1498" s="12">
        <v>1.1699386172121601E-2</v>
      </c>
      <c r="F1498" s="8" t="s">
        <v>5663</v>
      </c>
      <c r="G1498" s="12" t="s">
        <v>5664</v>
      </c>
      <c r="H1498" s="12">
        <v>1</v>
      </c>
      <c r="I1498" s="13" t="str">
        <f>HYPERLINK("http://www.ncbi.nlm.nih.gov/gene/10695", "10695")</f>
        <v>10695</v>
      </c>
      <c r="J1498" s="13" t="str">
        <f>HYPERLINK("http://www.ncbi.nlm.nih.gov/nuccore/NM_006586", "NM_006586")</f>
        <v>NM_006586</v>
      </c>
      <c r="K1498" s="12" t="s">
        <v>5665</v>
      </c>
      <c r="L1498" s="13" t="str">
        <f>HYPERLINK("http://asia.ensembl.org/Homo_sapiens/Gene/Summary?g=ENSG00000137161", "ENSG00000137161")</f>
        <v>ENSG00000137161</v>
      </c>
      <c r="M1498" s="12" t="s">
        <v>17932</v>
      </c>
      <c r="N1498" s="12" t="s">
        <v>17933</v>
      </c>
    </row>
    <row r="1499" spans="1:14">
      <c r="A1499" s="12" t="s">
        <v>9927</v>
      </c>
      <c r="B1499" s="8">
        <v>3280.6549193430201</v>
      </c>
      <c r="C1499" s="12">
        <v>6870.0702785867197</v>
      </c>
      <c r="D1499" s="8">
        <v>-1.06634100764662</v>
      </c>
      <c r="E1499" s="12">
        <v>6.0436134850673402E-3</v>
      </c>
      <c r="F1499" s="8" t="s">
        <v>2795</v>
      </c>
      <c r="G1499" s="12" t="s">
        <v>2796</v>
      </c>
      <c r="H1499" s="12">
        <v>1</v>
      </c>
      <c r="I1499" s="13" t="str">
        <f>HYPERLINK("http://www.ncbi.nlm.nih.gov/gene/5819", "5819")</f>
        <v>5819</v>
      </c>
      <c r="J1499" s="13" t="str">
        <f>HYPERLINK("http://www.ncbi.nlm.nih.gov/nuccore/NM_001042724", "NM_001042724")</f>
        <v>NM_001042724</v>
      </c>
      <c r="K1499" s="12" t="s">
        <v>9928</v>
      </c>
      <c r="L1499" s="13" t="str">
        <f>HYPERLINK("http://asia.ensembl.org/Homo_sapiens/Gene/Summary?g=ENSG00000130202", "ENSG00000130202")</f>
        <v>ENSG00000130202</v>
      </c>
      <c r="M1499" s="12" t="s">
        <v>19436</v>
      </c>
      <c r="N1499" s="12" t="s">
        <v>19437</v>
      </c>
    </row>
    <row r="1500" spans="1:14">
      <c r="A1500" s="12" t="s">
        <v>11029</v>
      </c>
      <c r="B1500" s="8">
        <v>2050.8562229863801</v>
      </c>
      <c r="C1500" s="12">
        <v>4294.5718061998696</v>
      </c>
      <c r="D1500" s="8">
        <v>-1.0662879394390501</v>
      </c>
      <c r="E1500" s="12">
        <v>4.8786793863254399E-3</v>
      </c>
      <c r="F1500" s="8" t="s">
        <v>481</v>
      </c>
      <c r="G1500" s="12" t="s">
        <v>19931</v>
      </c>
      <c r="H1500" s="12">
        <v>1</v>
      </c>
      <c r="I1500" s="13" t="str">
        <f>HYPERLINK("http://www.ncbi.nlm.nih.gov/gene/9203", "9203")</f>
        <v>9203</v>
      </c>
      <c r="J1500" s="13" t="str">
        <f>HYPERLINK("http://www.ncbi.nlm.nih.gov/nuccore/NM_001171163", "NM_001171163")</f>
        <v>NM_001171163</v>
      </c>
      <c r="K1500" s="12" t="s">
        <v>11030</v>
      </c>
      <c r="L1500" s="13" t="str">
        <f>HYPERLINK("http://asia.ensembl.org/Homo_sapiens/Gene/Summary?g=ENSG00000147130", "ENSG00000147130")</f>
        <v>ENSG00000147130</v>
      </c>
      <c r="M1500" s="12" t="s">
        <v>19932</v>
      </c>
      <c r="N1500" s="12" t="s">
        <v>19933</v>
      </c>
    </row>
    <row r="1501" spans="1:14">
      <c r="A1501" s="12" t="s">
        <v>7668</v>
      </c>
      <c r="B1501" s="8">
        <v>1625.82587898678</v>
      </c>
      <c r="C1501" s="12">
        <v>3404.4065127040099</v>
      </c>
      <c r="D1501" s="8">
        <v>-1.06623055892651</v>
      </c>
      <c r="E1501" s="12">
        <v>1.5984285343340999E-2</v>
      </c>
      <c r="F1501" s="8" t="s">
        <v>2886</v>
      </c>
      <c r="G1501" s="12" t="s">
        <v>2887</v>
      </c>
      <c r="H1501" s="12">
        <v>1</v>
      </c>
      <c r="I1501" s="13" t="str">
        <f>HYPERLINK("http://www.ncbi.nlm.nih.gov/gene/7485", "7485")</f>
        <v>7485</v>
      </c>
      <c r="J1501" s="12" t="s">
        <v>18605</v>
      </c>
      <c r="K1501" s="12" t="s">
        <v>18606</v>
      </c>
      <c r="L1501" s="13" t="str">
        <f>HYPERLINK("http://asia.ensembl.org/Homo_sapiens/Gene/Summary?g=ENSG00000182093", "ENSG00000182093")</f>
        <v>ENSG00000182093</v>
      </c>
      <c r="M1501" s="12" t="s">
        <v>18607</v>
      </c>
      <c r="N1501" s="12" t="s">
        <v>18608</v>
      </c>
    </row>
    <row r="1502" spans="1:14">
      <c r="A1502" s="12" t="s">
        <v>5585</v>
      </c>
      <c r="B1502" s="8">
        <v>76364.296529863306</v>
      </c>
      <c r="C1502" s="12">
        <v>159845.30869856299</v>
      </c>
      <c r="D1502" s="8">
        <v>-1.0657062217219599</v>
      </c>
      <c r="E1502" s="12">
        <v>3.8374677127855999E-3</v>
      </c>
      <c r="F1502" s="8" t="s">
        <v>5586</v>
      </c>
      <c r="G1502" s="12" t="s">
        <v>17909</v>
      </c>
      <c r="H1502" s="12">
        <v>1</v>
      </c>
      <c r="I1502" s="13" t="str">
        <f>HYPERLINK("http://www.ncbi.nlm.nih.gov/gene/539", "539")</f>
        <v>539</v>
      </c>
      <c r="J1502" s="13" t="str">
        <f>HYPERLINK("http://www.ncbi.nlm.nih.gov/nuccore/NM_001697", "NM_001697")</f>
        <v>NM_001697</v>
      </c>
      <c r="K1502" s="12" t="s">
        <v>5587</v>
      </c>
      <c r="L1502" s="13" t="str">
        <f>HYPERLINK("http://asia.ensembl.org/Homo_sapiens/Gene/Summary?g=ENSG00000241837", "ENSG00000241837")</f>
        <v>ENSG00000241837</v>
      </c>
      <c r="M1502" s="12" t="s">
        <v>17910</v>
      </c>
      <c r="N1502" s="12" t="s">
        <v>17911</v>
      </c>
    </row>
    <row r="1503" spans="1:14">
      <c r="A1503" s="12" t="s">
        <v>3263</v>
      </c>
      <c r="B1503" s="8">
        <v>4227.2235584351902</v>
      </c>
      <c r="C1503" s="12">
        <v>8847.3573446330302</v>
      </c>
      <c r="D1503" s="8">
        <v>-1.06553618282947</v>
      </c>
      <c r="E1503" s="12">
        <v>6.3126261501751004E-5</v>
      </c>
      <c r="F1503" s="8" t="s">
        <v>3264</v>
      </c>
      <c r="G1503" s="12" t="s">
        <v>3265</v>
      </c>
      <c r="H1503" s="12">
        <v>1</v>
      </c>
      <c r="I1503" s="13" t="str">
        <f>HYPERLINK("http://www.ncbi.nlm.nih.gov/gene/1376", "1376")</f>
        <v>1376</v>
      </c>
      <c r="J1503" s="13" t="str">
        <f>HYPERLINK("http://www.ncbi.nlm.nih.gov/nuccore/NM_000098", "NM_000098")</f>
        <v>NM_000098</v>
      </c>
      <c r="K1503" s="12" t="s">
        <v>3266</v>
      </c>
      <c r="L1503" s="13" t="str">
        <f>HYPERLINK("http://asia.ensembl.org/Homo_sapiens/Gene/Summary?g=ENSG00000157184", "ENSG00000157184")</f>
        <v>ENSG00000157184</v>
      </c>
      <c r="M1503" s="12" t="s">
        <v>17263</v>
      </c>
      <c r="N1503" s="12" t="s">
        <v>3267</v>
      </c>
    </row>
    <row r="1504" spans="1:14">
      <c r="A1504" s="12" t="s">
        <v>8354</v>
      </c>
      <c r="B1504" s="8">
        <v>773.12119821638601</v>
      </c>
      <c r="C1504" s="12">
        <v>1617.44120772156</v>
      </c>
      <c r="D1504" s="8">
        <v>-1.0649467718902299</v>
      </c>
      <c r="E1504" s="12">
        <v>9.0272019179446494E-3</v>
      </c>
      <c r="F1504" s="8" t="s">
        <v>8355</v>
      </c>
      <c r="G1504" s="12" t="s">
        <v>8356</v>
      </c>
      <c r="H1504" s="12">
        <v>1</v>
      </c>
      <c r="I1504" s="13" t="str">
        <f>HYPERLINK("http://www.ncbi.nlm.nih.gov/gene/10247", "10247")</f>
        <v>10247</v>
      </c>
      <c r="J1504" s="13" t="str">
        <f>HYPERLINK("http://www.ncbi.nlm.nih.gov/nuccore/NM_005836", "NM_005836")</f>
        <v>NM_005836</v>
      </c>
      <c r="K1504" s="12" t="s">
        <v>8357</v>
      </c>
      <c r="L1504" s="13" t="str">
        <f>HYPERLINK("http://asia.ensembl.org/Homo_sapiens/Gene/Summary?g=ENSG00000132541", "ENSG00000132541")</f>
        <v>ENSG00000132541</v>
      </c>
      <c r="M1504" s="12" t="s">
        <v>18804</v>
      </c>
      <c r="N1504" s="12" t="s">
        <v>18805</v>
      </c>
    </row>
    <row r="1505" spans="1:14">
      <c r="A1505" s="12" t="s">
        <v>11558</v>
      </c>
      <c r="B1505" s="8">
        <v>130.58102683245701</v>
      </c>
      <c r="C1505" s="12">
        <v>273.17542488850199</v>
      </c>
      <c r="D1505" s="8">
        <v>-1.06488241195114</v>
      </c>
      <c r="E1505" s="12">
        <v>5.8452274347233404E-3</v>
      </c>
      <c r="F1505" s="8" t="s">
        <v>11559</v>
      </c>
      <c r="G1505" s="12" t="s">
        <v>11560</v>
      </c>
      <c r="H1505" s="12">
        <v>1</v>
      </c>
      <c r="I1505" s="13" t="str">
        <f>HYPERLINK("http://www.ncbi.nlm.nih.gov/gene/101927572", "101927572")</f>
        <v>101927572</v>
      </c>
      <c r="J1505" s="13" t="str">
        <f>HYPERLINK("http://www.ncbi.nlm.nih.gov/nuccore/NM_001290056", "NM_001290056")</f>
        <v>NM_001290056</v>
      </c>
      <c r="K1505" s="12" t="s">
        <v>11561</v>
      </c>
      <c r="L1505" s="12" t="s">
        <v>38</v>
      </c>
      <c r="M1505" s="12" t="s">
        <v>38</v>
      </c>
      <c r="N1505" s="12" t="s">
        <v>38</v>
      </c>
    </row>
    <row r="1506" spans="1:14">
      <c r="A1506" s="12" t="s">
        <v>6906</v>
      </c>
      <c r="B1506" s="8">
        <v>38027.811948317103</v>
      </c>
      <c r="C1506" s="12">
        <v>79549.899790059106</v>
      </c>
      <c r="D1506" s="8">
        <v>-1.0648051818905599</v>
      </c>
      <c r="E1506" s="12">
        <v>6.4888839188856897E-3</v>
      </c>
      <c r="F1506" s="8" t="s">
        <v>6907</v>
      </c>
      <c r="G1506" s="12" t="s">
        <v>18297</v>
      </c>
      <c r="H1506" s="12">
        <v>1</v>
      </c>
      <c r="I1506" s="13" t="str">
        <f>HYPERLINK("http://www.ncbi.nlm.nih.gov/gene/4637", "4637")</f>
        <v>4637</v>
      </c>
      <c r="J1506" s="13" t="str">
        <f>HYPERLINK("http://www.ncbi.nlm.nih.gov/nuccore/NM_021019", "NM_021019")</f>
        <v>NM_021019</v>
      </c>
      <c r="K1506" s="12" t="s">
        <v>6908</v>
      </c>
      <c r="L1506" s="13" t="str">
        <f>HYPERLINK("http://asia.ensembl.org/Homo_sapiens/Gene/Summary?g=ENSG00000092841", "ENSG00000092841")</f>
        <v>ENSG00000092841</v>
      </c>
      <c r="M1506" s="12" t="s">
        <v>18298</v>
      </c>
      <c r="N1506" s="12" t="s">
        <v>18299</v>
      </c>
    </row>
    <row r="1507" spans="1:14">
      <c r="A1507" s="12" t="s">
        <v>11497</v>
      </c>
      <c r="B1507" s="8">
        <v>8876.6166829038393</v>
      </c>
      <c r="C1507" s="12">
        <v>18564.592420061301</v>
      </c>
      <c r="D1507" s="8">
        <v>-1.0644718375025799</v>
      </c>
      <c r="E1507" s="12">
        <v>5.3359526484574099E-3</v>
      </c>
      <c r="F1507" s="8" t="s">
        <v>9040</v>
      </c>
      <c r="G1507" s="12" t="s">
        <v>9041</v>
      </c>
      <c r="H1507" s="12">
        <v>1</v>
      </c>
      <c r="I1507" s="13" t="str">
        <f>HYPERLINK("http://www.ncbi.nlm.nih.gov/gene/54939", "54939")</f>
        <v>54939</v>
      </c>
      <c r="J1507" s="13" t="str">
        <f>HYPERLINK("http://www.ncbi.nlm.nih.gov/nuccore/NM_017828", "NM_017828")</f>
        <v>NM_017828</v>
      </c>
      <c r="K1507" s="12" t="s">
        <v>9042</v>
      </c>
      <c r="L1507" s="13" t="str">
        <f>HYPERLINK("http://asia.ensembl.org/Homo_sapiens/Gene/Summary?g=ENSG00000140365", "ENSG00000140365")</f>
        <v>ENSG00000140365</v>
      </c>
      <c r="M1507" s="12" t="s">
        <v>19047</v>
      </c>
      <c r="N1507" s="12" t="s">
        <v>13083</v>
      </c>
    </row>
    <row r="1508" spans="1:14">
      <c r="A1508" s="12" t="s">
        <v>11735</v>
      </c>
      <c r="B1508" s="8">
        <v>95.657430721298894</v>
      </c>
      <c r="C1508" s="12">
        <v>200.00995266194599</v>
      </c>
      <c r="D1508" s="8">
        <v>-1.0641228441205799</v>
      </c>
      <c r="E1508" s="12">
        <v>8.7929498447719204E-3</v>
      </c>
      <c r="F1508" s="8" t="s">
        <v>38</v>
      </c>
      <c r="G1508" s="12" t="s">
        <v>38</v>
      </c>
      <c r="H1508" s="12">
        <v>1</v>
      </c>
      <c r="I1508" s="12" t="s">
        <v>38</v>
      </c>
      <c r="J1508" s="12" t="s">
        <v>38</v>
      </c>
      <c r="K1508" s="12" t="s">
        <v>38</v>
      </c>
      <c r="L1508" s="13" t="str">
        <f>HYPERLINK("http://asia.ensembl.org/Homo_sapiens/Gene/Summary?g=ENSG00000280113", "ENSG00000280113")</f>
        <v>ENSG00000280113</v>
      </c>
      <c r="M1508" s="12" t="s">
        <v>11736</v>
      </c>
      <c r="N1508" s="12" t="s">
        <v>11737</v>
      </c>
    </row>
    <row r="1509" spans="1:14">
      <c r="A1509" s="12" t="s">
        <v>213</v>
      </c>
      <c r="B1509" s="8">
        <v>4521.9500582688997</v>
      </c>
      <c r="C1509" s="12">
        <v>9453.5666813829703</v>
      </c>
      <c r="D1509" s="8">
        <v>-1.06391367945513</v>
      </c>
      <c r="E1509" s="12">
        <v>4.0401209134846303E-3</v>
      </c>
      <c r="F1509" s="8" t="s">
        <v>214</v>
      </c>
      <c r="G1509" s="12" t="s">
        <v>215</v>
      </c>
      <c r="H1509" s="12">
        <v>1</v>
      </c>
      <c r="I1509" s="13" t="str">
        <f>HYPERLINK("http://www.ncbi.nlm.nih.gov/gene/79568", "79568")</f>
        <v>79568</v>
      </c>
      <c r="J1509" s="13" t="str">
        <f>HYPERLINK("http://www.ncbi.nlm.nih.gov/nuccore/NM_024520", "NM_024520")</f>
        <v>NM_024520</v>
      </c>
      <c r="K1509" s="12" t="s">
        <v>216</v>
      </c>
      <c r="L1509" s="13" t="str">
        <f>HYPERLINK("http://asia.ensembl.org/Homo_sapiens/Gene/Summary?g=ENSG00000162972", "ENSG00000162972")</f>
        <v>ENSG00000162972</v>
      </c>
      <c r="M1509" s="12" t="s">
        <v>16286</v>
      </c>
      <c r="N1509" s="12" t="s">
        <v>16287</v>
      </c>
    </row>
    <row r="1510" spans="1:14">
      <c r="A1510" s="12" t="s">
        <v>6098</v>
      </c>
      <c r="B1510" s="8">
        <v>16834.424029387501</v>
      </c>
      <c r="C1510" s="12">
        <v>35190.872225034298</v>
      </c>
      <c r="D1510" s="8">
        <v>-1.06378691067213</v>
      </c>
      <c r="E1510" s="12">
        <v>1.01703455207501E-2</v>
      </c>
      <c r="F1510" s="8" t="s">
        <v>6099</v>
      </c>
      <c r="G1510" s="12" t="s">
        <v>6100</v>
      </c>
      <c r="H1510" s="12">
        <v>1</v>
      </c>
      <c r="I1510" s="13" t="str">
        <f>HYPERLINK("http://www.ncbi.nlm.nih.gov/gene/51699", "51699")</f>
        <v>51699</v>
      </c>
      <c r="J1510" s="12" t="s">
        <v>18051</v>
      </c>
      <c r="K1510" s="12" t="s">
        <v>18052</v>
      </c>
      <c r="L1510" s="13" t="str">
        <f>HYPERLINK("http://asia.ensembl.org/Homo_sapiens/Gene/Summary?g=ENSG00000111237", "ENSG00000111237")</f>
        <v>ENSG00000111237</v>
      </c>
      <c r="M1510" s="12" t="s">
        <v>18053</v>
      </c>
      <c r="N1510" s="12" t="s">
        <v>18054</v>
      </c>
    </row>
    <row r="1511" spans="1:14">
      <c r="A1511" s="12" t="s">
        <v>9719</v>
      </c>
      <c r="B1511" s="8">
        <v>409.17253440734402</v>
      </c>
      <c r="C1511" s="12">
        <v>855.30560034105804</v>
      </c>
      <c r="D1511" s="8">
        <v>-1.06373067862808</v>
      </c>
      <c r="E1511" s="12">
        <v>5.3500681367454903E-3</v>
      </c>
      <c r="F1511" s="8" t="s">
        <v>9720</v>
      </c>
      <c r="G1511" s="12" t="s">
        <v>9721</v>
      </c>
      <c r="H1511" s="12">
        <v>1</v>
      </c>
      <c r="I1511" s="13" t="str">
        <f>HYPERLINK("http://www.ncbi.nlm.nih.gov/gene/205", "205")</f>
        <v>205</v>
      </c>
      <c r="J1511" s="12" t="s">
        <v>19275</v>
      </c>
      <c r="K1511" s="12" t="s">
        <v>19276</v>
      </c>
      <c r="L1511" s="13" t="str">
        <f>HYPERLINK("http://asia.ensembl.org/Homo_sapiens/Gene/Summary?g=ENSG00000162433", "ENSG00000162433")</f>
        <v>ENSG00000162433</v>
      </c>
      <c r="M1511" s="12" t="s">
        <v>19277</v>
      </c>
      <c r="N1511" s="12" t="s">
        <v>19278</v>
      </c>
    </row>
    <row r="1512" spans="1:14">
      <c r="A1512" s="12" t="s">
        <v>2963</v>
      </c>
      <c r="B1512" s="8">
        <v>173.307335824631</v>
      </c>
      <c r="C1512" s="12">
        <v>362.16550313986698</v>
      </c>
      <c r="D1512" s="8">
        <v>-1.06331641097242</v>
      </c>
      <c r="E1512" s="12">
        <v>1.49775777888659E-2</v>
      </c>
      <c r="F1512" s="8" t="s">
        <v>2964</v>
      </c>
      <c r="G1512" s="12" t="s">
        <v>2965</v>
      </c>
      <c r="H1512" s="12">
        <v>1</v>
      </c>
      <c r="I1512" s="13" t="str">
        <f>HYPERLINK("http://www.ncbi.nlm.nih.gov/gene/257044", "257044")</f>
        <v>257044</v>
      </c>
      <c r="J1512" s="12" t="s">
        <v>17152</v>
      </c>
      <c r="K1512" s="12" t="s">
        <v>17153</v>
      </c>
      <c r="L1512" s="13" t="str">
        <f>HYPERLINK("http://asia.ensembl.org/Homo_sapiens/Gene/Summary?g=ENSG00000179397", "ENSG00000179397")</f>
        <v>ENSG00000179397</v>
      </c>
      <c r="M1512" s="12" t="s">
        <v>17154</v>
      </c>
      <c r="N1512" s="12" t="s">
        <v>17155</v>
      </c>
    </row>
    <row r="1513" spans="1:14">
      <c r="A1513" s="12" t="s">
        <v>8358</v>
      </c>
      <c r="B1513" s="8">
        <v>2228.49464324679</v>
      </c>
      <c r="C1513" s="12">
        <v>4656.8688921500598</v>
      </c>
      <c r="D1513" s="8">
        <v>-1.06329077253034</v>
      </c>
      <c r="E1513" s="12">
        <v>9.6576067532920407E-3</v>
      </c>
      <c r="F1513" s="8" t="s">
        <v>8359</v>
      </c>
      <c r="G1513" s="12" t="s">
        <v>41</v>
      </c>
      <c r="H1513" s="12">
        <v>1</v>
      </c>
      <c r="I1513" s="13" t="str">
        <f>HYPERLINK("http://www.ncbi.nlm.nih.gov/gene/51171", "51171")</f>
        <v>51171</v>
      </c>
      <c r="J1513" s="13" t="str">
        <f>HYPERLINK("http://www.ncbi.nlm.nih.gov/nuccore/NM_016246", "NM_016246")</f>
        <v>NM_016246</v>
      </c>
      <c r="K1513" s="12" t="s">
        <v>8360</v>
      </c>
      <c r="L1513" s="13" t="str">
        <f>HYPERLINK("http://asia.ensembl.org/Homo_sapiens/Gene/Summary?g=ENSG00000087076", "ENSG00000087076")</f>
        <v>ENSG00000087076</v>
      </c>
      <c r="M1513" s="12" t="s">
        <v>18806</v>
      </c>
      <c r="N1513" s="12" t="s">
        <v>18807</v>
      </c>
    </row>
    <row r="1514" spans="1:14">
      <c r="A1514" s="12" t="s">
        <v>5754</v>
      </c>
      <c r="B1514" s="8">
        <v>88.619664269254301</v>
      </c>
      <c r="C1514" s="12">
        <v>185.18418452173501</v>
      </c>
      <c r="D1514" s="8">
        <v>-1.06326212549265</v>
      </c>
      <c r="E1514" s="12">
        <v>1.2126333084013E-3</v>
      </c>
      <c r="F1514" s="8" t="s">
        <v>5755</v>
      </c>
      <c r="G1514" s="12" t="s">
        <v>17963</v>
      </c>
      <c r="H1514" s="12">
        <v>1</v>
      </c>
      <c r="I1514" s="13" t="str">
        <f>HYPERLINK("http://www.ncbi.nlm.nih.gov/gene/7045", "7045")</f>
        <v>7045</v>
      </c>
      <c r="J1514" s="13" t="str">
        <f>HYPERLINK("http://www.ncbi.nlm.nih.gov/nuccore/NM_000358", "NM_000358")</f>
        <v>NM_000358</v>
      </c>
      <c r="K1514" s="12" t="s">
        <v>5756</v>
      </c>
      <c r="L1514" s="13" t="str">
        <f>HYPERLINK("http://asia.ensembl.org/Homo_sapiens/Gene/Summary?g=ENSG00000120708", "ENSG00000120708")</f>
        <v>ENSG00000120708</v>
      </c>
      <c r="M1514" s="12" t="s">
        <v>17964</v>
      </c>
      <c r="N1514" s="12" t="s">
        <v>17965</v>
      </c>
    </row>
    <row r="1515" spans="1:14">
      <c r="A1515" s="12" t="s">
        <v>10463</v>
      </c>
      <c r="B1515" s="8">
        <v>144.18036548708301</v>
      </c>
      <c r="C1515" s="12">
        <v>301.26215230131299</v>
      </c>
      <c r="D1515" s="8">
        <v>-1.06314472645776</v>
      </c>
      <c r="E1515" s="12">
        <v>2.05287167733821E-2</v>
      </c>
      <c r="F1515" s="8" t="s">
        <v>38</v>
      </c>
      <c r="G1515" s="12" t="s">
        <v>38</v>
      </c>
      <c r="H1515" s="12">
        <v>1</v>
      </c>
      <c r="I1515" s="12" t="s">
        <v>38</v>
      </c>
      <c r="J1515" s="12" t="s">
        <v>38</v>
      </c>
      <c r="K1515" s="12" t="s">
        <v>38</v>
      </c>
      <c r="L1515" s="13" t="str">
        <f>HYPERLINK("http://asia.ensembl.org/Homo_sapiens/Gene/Summary?g=ENSG00000196383", "ENSG00000196383")</f>
        <v>ENSG00000196383</v>
      </c>
      <c r="M1515" s="12" t="s">
        <v>10464</v>
      </c>
      <c r="N1515" s="12" t="s">
        <v>10465</v>
      </c>
    </row>
    <row r="1516" spans="1:14">
      <c r="A1516" s="12" t="s">
        <v>2105</v>
      </c>
      <c r="B1516" s="8">
        <v>220.14240405717501</v>
      </c>
      <c r="C1516" s="12">
        <v>459.762088923909</v>
      </c>
      <c r="D1516" s="8">
        <v>-1.0624504437642499</v>
      </c>
      <c r="E1516" s="12">
        <v>1.3848063216184099E-2</v>
      </c>
      <c r="F1516" s="8" t="s">
        <v>2106</v>
      </c>
      <c r="G1516" s="12" t="s">
        <v>2107</v>
      </c>
      <c r="H1516" s="12">
        <v>1</v>
      </c>
      <c r="I1516" s="13" t="str">
        <f>HYPERLINK("http://www.ncbi.nlm.nih.gov/gene/64963", "64963")</f>
        <v>64963</v>
      </c>
      <c r="J1516" s="13" t="str">
        <f>HYPERLINK("http://www.ncbi.nlm.nih.gov/nuccore/NM_176805", "NM_176805")</f>
        <v>NM_176805</v>
      </c>
      <c r="K1516" s="12" t="s">
        <v>2108</v>
      </c>
      <c r="L1516" s="13" t="str">
        <f>HYPERLINK("http://asia.ensembl.org/Homo_sapiens/Gene/Summary?g=ENSG00000181991", "ENSG00000181991")</f>
        <v>ENSG00000181991</v>
      </c>
      <c r="M1516" s="12" t="s">
        <v>16923</v>
      </c>
      <c r="N1516" s="12" t="s">
        <v>16924</v>
      </c>
    </row>
    <row r="1517" spans="1:14">
      <c r="A1517" s="12" t="s">
        <v>9705</v>
      </c>
      <c r="B1517" s="8">
        <v>5256.8362384096499</v>
      </c>
      <c r="C1517" s="12">
        <v>10975.845028620601</v>
      </c>
      <c r="D1517" s="8">
        <v>-1.06206531919167</v>
      </c>
      <c r="E1517" s="12">
        <v>7.7034536663178601E-3</v>
      </c>
      <c r="F1517" s="8" t="s">
        <v>9706</v>
      </c>
      <c r="G1517" s="12" t="s">
        <v>9707</v>
      </c>
      <c r="H1517" s="12">
        <v>1</v>
      </c>
      <c r="I1517" s="13" t="str">
        <f>HYPERLINK("http://www.ncbi.nlm.nih.gov/gene/125476", "125476")</f>
        <v>125476</v>
      </c>
      <c r="J1517" s="12" t="s">
        <v>19271</v>
      </c>
      <c r="K1517" s="12" t="s">
        <v>19272</v>
      </c>
      <c r="L1517" s="13" t="str">
        <f>HYPERLINK("http://asia.ensembl.org/Homo_sapiens/Gene/Summary?g=ENSG00000153391", "ENSG00000153391")</f>
        <v>ENSG00000153391</v>
      </c>
      <c r="M1517" s="12" t="s">
        <v>19273</v>
      </c>
      <c r="N1517" s="12" t="s">
        <v>19274</v>
      </c>
    </row>
    <row r="1518" spans="1:14">
      <c r="A1518" s="12" t="s">
        <v>9652</v>
      </c>
      <c r="B1518" s="8">
        <v>4530.5654126073496</v>
      </c>
      <c r="C1518" s="12">
        <v>9459.0633850365102</v>
      </c>
      <c r="D1518" s="8">
        <v>-1.06200622902623</v>
      </c>
      <c r="E1518" s="12">
        <v>5.16681642925566E-3</v>
      </c>
      <c r="F1518" s="8" t="s">
        <v>9653</v>
      </c>
      <c r="G1518" s="12" t="s">
        <v>19244</v>
      </c>
      <c r="H1518" s="12">
        <v>1</v>
      </c>
      <c r="I1518" s="13" t="str">
        <f>HYPERLINK("http://www.ncbi.nlm.nih.gov/gene/97", "97")</f>
        <v>97</v>
      </c>
      <c r="J1518" s="13" t="str">
        <f>HYPERLINK("http://www.ncbi.nlm.nih.gov/nuccore/NM_001107", "NM_001107")</f>
        <v>NM_001107</v>
      </c>
      <c r="K1518" s="12" t="s">
        <v>9654</v>
      </c>
      <c r="L1518" s="13" t="str">
        <f>HYPERLINK("http://asia.ensembl.org/Homo_sapiens/Gene/Summary?g=ENSG00000119640", "ENSG00000119640")</f>
        <v>ENSG00000119640</v>
      </c>
      <c r="M1518" s="12" t="s">
        <v>19245</v>
      </c>
      <c r="N1518" s="12" t="s">
        <v>19246</v>
      </c>
    </row>
    <row r="1519" spans="1:14">
      <c r="A1519" s="12" t="s">
        <v>3086</v>
      </c>
      <c r="B1519" s="8">
        <v>137.30268342774701</v>
      </c>
      <c r="C1519" s="12">
        <v>286.641090413173</v>
      </c>
      <c r="D1519" s="8">
        <v>-1.0618856152116101</v>
      </c>
      <c r="E1519" s="12">
        <v>1.32058972718131E-3</v>
      </c>
      <c r="F1519" s="8" t="s">
        <v>3087</v>
      </c>
      <c r="G1519" s="12" t="s">
        <v>3088</v>
      </c>
      <c r="H1519" s="12">
        <v>1</v>
      </c>
      <c r="I1519" s="13" t="str">
        <f>HYPERLINK("http://www.ncbi.nlm.nih.gov/gene/81851", "81851")</f>
        <v>81851</v>
      </c>
      <c r="J1519" s="13" t="str">
        <f>HYPERLINK("http://www.ncbi.nlm.nih.gov/nuccore/NM_030967", "NM_030967")</f>
        <v>NM_030967</v>
      </c>
      <c r="K1519" s="12" t="s">
        <v>3089</v>
      </c>
      <c r="L1519" s="13" t="str">
        <f>HYPERLINK("http://asia.ensembl.org/Homo_sapiens/Gene/Summary?g=ENSG00000188581", "ENSG00000188581")</f>
        <v>ENSG00000188581</v>
      </c>
      <c r="M1519" s="12" t="s">
        <v>3090</v>
      </c>
      <c r="N1519" s="12" t="s">
        <v>3091</v>
      </c>
    </row>
    <row r="1520" spans="1:14">
      <c r="A1520" s="12" t="s">
        <v>10150</v>
      </c>
      <c r="B1520" s="8">
        <v>6033.6810476282199</v>
      </c>
      <c r="C1520" s="12">
        <v>12594.4571584064</v>
      </c>
      <c r="D1520" s="8">
        <v>-1.0616786010230299</v>
      </c>
      <c r="E1520" s="12">
        <v>4.8980706793233996E-3</v>
      </c>
      <c r="F1520" s="8" t="s">
        <v>10151</v>
      </c>
      <c r="G1520" s="12" t="s">
        <v>19558</v>
      </c>
      <c r="H1520" s="12">
        <v>1</v>
      </c>
      <c r="I1520" s="13" t="str">
        <f>HYPERLINK("http://www.ncbi.nlm.nih.gov/gene/92002", "92002")</f>
        <v>92002</v>
      </c>
      <c r="J1520" s="12" t="s">
        <v>19559</v>
      </c>
      <c r="K1520" s="12" t="s">
        <v>19560</v>
      </c>
      <c r="L1520" s="13" t="str">
        <f>HYPERLINK("http://asia.ensembl.org/Homo_sapiens/Gene/Summary?g=ENSG00000262919", "ENSG00000262919")</f>
        <v>ENSG00000262919</v>
      </c>
      <c r="M1520" s="12" t="s">
        <v>19561</v>
      </c>
      <c r="N1520" s="12" t="s">
        <v>19562</v>
      </c>
    </row>
    <row r="1521" spans="1:14">
      <c r="A1521" s="12" t="s">
        <v>1608</v>
      </c>
      <c r="B1521" s="8">
        <v>1948.2859989118699</v>
      </c>
      <c r="C1521" s="12">
        <v>4066.02328629251</v>
      </c>
      <c r="D1521" s="8">
        <v>-1.0614130040002401</v>
      </c>
      <c r="E1521" s="12">
        <v>4.3774013760667701E-3</v>
      </c>
      <c r="F1521" s="8" t="s">
        <v>1609</v>
      </c>
      <c r="G1521" s="12" t="s">
        <v>1610</v>
      </c>
      <c r="H1521" s="12">
        <v>1</v>
      </c>
      <c r="I1521" s="13" t="str">
        <f>HYPERLINK("http://www.ncbi.nlm.nih.gov/gene/7064", "7064")</f>
        <v>7064</v>
      </c>
      <c r="J1521" s="13" t="str">
        <f>HYPERLINK("http://www.ncbi.nlm.nih.gov/nuccore/NM_003249", "NM_003249")</f>
        <v>NM_003249</v>
      </c>
      <c r="K1521" s="12" t="s">
        <v>1611</v>
      </c>
      <c r="L1521" s="13" t="str">
        <f>HYPERLINK("http://asia.ensembl.org/Homo_sapiens/Gene/Summary?g=ENSG00000172009", "ENSG00000172009")</f>
        <v>ENSG00000172009</v>
      </c>
      <c r="M1521" s="12" t="s">
        <v>16714</v>
      </c>
      <c r="N1521" s="12" t="s">
        <v>16715</v>
      </c>
    </row>
    <row r="1522" spans="1:14">
      <c r="A1522" s="12" t="s">
        <v>3940</v>
      </c>
      <c r="B1522" s="8">
        <v>2001.07053408916</v>
      </c>
      <c r="C1522" s="12">
        <v>4174.54655941275</v>
      </c>
      <c r="D1522" s="8">
        <v>-1.0608474795877501</v>
      </c>
      <c r="E1522" s="12">
        <v>1.8290458228516701E-2</v>
      </c>
      <c r="F1522" s="8" t="s">
        <v>3941</v>
      </c>
      <c r="G1522" s="12" t="s">
        <v>3942</v>
      </c>
      <c r="H1522" s="12">
        <v>1</v>
      </c>
      <c r="I1522" s="13" t="str">
        <f>HYPERLINK("http://www.ncbi.nlm.nih.gov/gene/30008", "30008")</f>
        <v>30008</v>
      </c>
      <c r="J1522" s="12" t="s">
        <v>17486</v>
      </c>
      <c r="K1522" s="12" t="s">
        <v>17487</v>
      </c>
      <c r="L1522" s="13" t="str">
        <f>HYPERLINK("http://asia.ensembl.org/Homo_sapiens/Gene/Summary?g=ENSG00000172638", "ENSG00000172638")</f>
        <v>ENSG00000172638</v>
      </c>
      <c r="M1522" s="12" t="s">
        <v>17488</v>
      </c>
      <c r="N1522" s="12" t="s">
        <v>17489</v>
      </c>
    </row>
    <row r="1523" spans="1:14">
      <c r="A1523" s="12" t="s">
        <v>5823</v>
      </c>
      <c r="B1523" s="8">
        <v>16254.7011047246</v>
      </c>
      <c r="C1523" s="12">
        <v>33908.266162084998</v>
      </c>
      <c r="D1523" s="8">
        <v>-1.06077998898978</v>
      </c>
      <c r="E1523" s="12">
        <v>1.11456232315073E-2</v>
      </c>
      <c r="F1523" s="8" t="s">
        <v>5824</v>
      </c>
      <c r="G1523" s="12" t="s">
        <v>5825</v>
      </c>
      <c r="H1523" s="12">
        <v>1</v>
      </c>
      <c r="I1523" s="13" t="str">
        <f>HYPERLINK("http://www.ncbi.nlm.nih.gov/gene/1917", "1917")</f>
        <v>1917</v>
      </c>
      <c r="J1523" s="13" t="str">
        <f>HYPERLINK("http://www.ncbi.nlm.nih.gov/nuccore/NM_001958", "NM_001958")</f>
        <v>NM_001958</v>
      </c>
      <c r="K1523" s="12" t="s">
        <v>5826</v>
      </c>
      <c r="L1523" s="13" t="str">
        <f>HYPERLINK("http://asia.ensembl.org/Homo_sapiens/Gene/Summary?g=ENSG00000101210", "ENSG00000101210")</f>
        <v>ENSG00000101210</v>
      </c>
      <c r="M1523" s="12" t="s">
        <v>17978</v>
      </c>
      <c r="N1523" s="12" t="s">
        <v>17979</v>
      </c>
    </row>
    <row r="1524" spans="1:14">
      <c r="A1524" s="12" t="s">
        <v>9931</v>
      </c>
      <c r="B1524" s="8">
        <v>2495.23567796101</v>
      </c>
      <c r="C1524" s="12">
        <v>5205.1658326370898</v>
      </c>
      <c r="D1524" s="8">
        <v>-1.0607680411760401</v>
      </c>
      <c r="E1524" s="12">
        <v>5.9229167160839899E-4</v>
      </c>
      <c r="F1524" s="8" t="s">
        <v>9932</v>
      </c>
      <c r="G1524" s="12" t="s">
        <v>9933</v>
      </c>
      <c r="H1524" s="12">
        <v>1</v>
      </c>
      <c r="I1524" s="13" t="str">
        <f>HYPERLINK("http://www.ncbi.nlm.nih.gov/gene/119710", "119710")</f>
        <v>119710</v>
      </c>
      <c r="J1524" s="13" t="str">
        <f>HYPERLINK("http://www.ncbi.nlm.nih.gov/nuccore/NM_138787", "NM_138787")</f>
        <v>NM_138787</v>
      </c>
      <c r="K1524" s="12" t="s">
        <v>9934</v>
      </c>
      <c r="L1524" s="13" t="str">
        <f>HYPERLINK("http://asia.ensembl.org/Homo_sapiens/Gene/Summary?g=ENSG00000166352", "ENSG00000166352")</f>
        <v>ENSG00000166352</v>
      </c>
      <c r="M1524" s="12" t="s">
        <v>19442</v>
      </c>
      <c r="N1524" s="12" t="s">
        <v>19443</v>
      </c>
    </row>
    <row r="1525" spans="1:14">
      <c r="A1525" s="12" t="s">
        <v>11374</v>
      </c>
      <c r="B1525" s="8">
        <v>64082.110901742497</v>
      </c>
      <c r="C1525" s="12">
        <v>133624.659583253</v>
      </c>
      <c r="D1525" s="8">
        <v>-1.0601926957494101</v>
      </c>
      <c r="E1525" s="12">
        <v>4.2994733396416497E-3</v>
      </c>
      <c r="F1525" s="8" t="s">
        <v>3392</v>
      </c>
      <c r="G1525" s="12" t="s">
        <v>3393</v>
      </c>
      <c r="H1525" s="12">
        <v>4</v>
      </c>
      <c r="I1525" s="12" t="s">
        <v>3394</v>
      </c>
      <c r="J1525" s="12" t="s">
        <v>3395</v>
      </c>
      <c r="K1525" s="12" t="s">
        <v>3396</v>
      </c>
      <c r="L1525" s="12" t="s">
        <v>3397</v>
      </c>
      <c r="M1525" s="12" t="s">
        <v>17291</v>
      </c>
      <c r="N1525" s="12" t="s">
        <v>17292</v>
      </c>
    </row>
    <row r="1526" spans="1:14">
      <c r="A1526" s="12" t="s">
        <v>7429</v>
      </c>
      <c r="B1526" s="8">
        <v>683.76551441767504</v>
      </c>
      <c r="C1526" s="12">
        <v>1425.5865007458999</v>
      </c>
      <c r="D1526" s="8">
        <v>-1.0599820131061799</v>
      </c>
      <c r="E1526" s="12">
        <v>6.0820589630294899E-3</v>
      </c>
      <c r="F1526" s="8" t="s">
        <v>7430</v>
      </c>
      <c r="G1526" s="12" t="s">
        <v>7431</v>
      </c>
      <c r="H1526" s="12">
        <v>1</v>
      </c>
      <c r="I1526" s="13" t="str">
        <f>HYPERLINK("http://www.ncbi.nlm.nih.gov/gene/388341", "388341")</f>
        <v>388341</v>
      </c>
      <c r="J1526" s="12" t="s">
        <v>18520</v>
      </c>
      <c r="K1526" s="12" t="s">
        <v>18521</v>
      </c>
      <c r="L1526" s="13" t="str">
        <f>HYPERLINK("http://asia.ensembl.org/Homo_sapiens/Gene/Summary?g=ENSG00000181350", "ENSG00000181350")</f>
        <v>ENSG00000181350</v>
      </c>
      <c r="M1526" s="12" t="s">
        <v>18522</v>
      </c>
      <c r="N1526" s="12" t="s">
        <v>18523</v>
      </c>
    </row>
    <row r="1527" spans="1:14">
      <c r="A1527" s="12" t="s">
        <v>3205</v>
      </c>
      <c r="B1527" s="8">
        <v>15384.191889203101</v>
      </c>
      <c r="C1527" s="12">
        <v>32057.885605267998</v>
      </c>
      <c r="D1527" s="8">
        <v>-1.0592306120767701</v>
      </c>
      <c r="E1527" s="12">
        <v>1.4587097716724E-2</v>
      </c>
      <c r="F1527" s="8" t="s">
        <v>3206</v>
      </c>
      <c r="G1527" s="12" t="s">
        <v>17245</v>
      </c>
      <c r="H1527" s="12">
        <v>1</v>
      </c>
      <c r="I1527" s="13" t="str">
        <f>HYPERLINK("http://www.ncbi.nlm.nih.gov/gene/6993", "6993")</f>
        <v>6993</v>
      </c>
      <c r="J1527" s="13" t="str">
        <f>HYPERLINK("http://www.ncbi.nlm.nih.gov/nuccore/NM_006519", "NM_006519")</f>
        <v>NM_006519</v>
      </c>
      <c r="K1527" s="12" t="s">
        <v>3207</v>
      </c>
      <c r="L1527" s="13" t="str">
        <f>HYPERLINK("http://asia.ensembl.org/Homo_sapiens/Gene/Summary?g=ENSG00000146425", "ENSG00000146425")</f>
        <v>ENSG00000146425</v>
      </c>
      <c r="M1527" s="12" t="s">
        <v>17246</v>
      </c>
      <c r="N1527" s="12" t="s">
        <v>17247</v>
      </c>
    </row>
    <row r="1528" spans="1:14">
      <c r="A1528" s="12" t="s">
        <v>9124</v>
      </c>
      <c r="B1528" s="8">
        <v>1814.0631808125299</v>
      </c>
      <c r="C1528" s="12">
        <v>3779.9322633474799</v>
      </c>
      <c r="D1528" s="8">
        <v>-1.05913567806373</v>
      </c>
      <c r="E1528" s="12">
        <v>8.5643868560739793E-3</v>
      </c>
      <c r="F1528" s="8" t="s">
        <v>9125</v>
      </c>
      <c r="G1528" s="12" t="s">
        <v>15570</v>
      </c>
      <c r="H1528" s="12">
        <v>1</v>
      </c>
      <c r="I1528" s="13" t="str">
        <f>HYPERLINK("http://www.ncbi.nlm.nih.gov/gene/5687", "5687")</f>
        <v>5687</v>
      </c>
      <c r="J1528" s="13" t="str">
        <f>HYPERLINK("http://www.ncbi.nlm.nih.gov/nuccore/NM_002791", "NM_002791")</f>
        <v>NM_002791</v>
      </c>
      <c r="K1528" s="12" t="s">
        <v>9126</v>
      </c>
      <c r="L1528" s="13" t="str">
        <f>HYPERLINK("http://asia.ensembl.org/Homo_sapiens/Gene/Summary?g=ENSG00000100902", "ENSG00000100902")</f>
        <v>ENSG00000100902</v>
      </c>
      <c r="M1528" s="12" t="s">
        <v>19064</v>
      </c>
      <c r="N1528" s="12" t="s">
        <v>19065</v>
      </c>
    </row>
    <row r="1529" spans="1:14">
      <c r="A1529" s="12" t="s">
        <v>8020</v>
      </c>
      <c r="B1529" s="8">
        <v>18426.590684345301</v>
      </c>
      <c r="C1529" s="12">
        <v>38390.769806600503</v>
      </c>
      <c r="D1529" s="8">
        <v>-1.05897032316085</v>
      </c>
      <c r="E1529" s="12">
        <v>1.1220498657382101E-2</v>
      </c>
      <c r="F1529" s="8" t="s">
        <v>8021</v>
      </c>
      <c r="G1529" s="12" t="s">
        <v>8022</v>
      </c>
      <c r="H1529" s="12">
        <v>1</v>
      </c>
      <c r="I1529" s="13" t="str">
        <f>HYPERLINK("http://www.ncbi.nlm.nih.gov/gene/283871", "283871")</f>
        <v>283871</v>
      </c>
      <c r="J1529" s="13" t="str">
        <f>HYPERLINK("http://www.ncbi.nlm.nih.gov/nuccore/NM_001042371", "NM_001042371")</f>
        <v>NM_001042371</v>
      </c>
      <c r="K1529" s="12" t="s">
        <v>8023</v>
      </c>
      <c r="L1529" s="13" t="str">
        <f>HYPERLINK("http://asia.ensembl.org/Homo_sapiens/Gene/Summary?g=ENSG00000184207", "ENSG00000184207")</f>
        <v>ENSG00000184207</v>
      </c>
      <c r="M1529" s="12" t="s">
        <v>18704</v>
      </c>
      <c r="N1529" s="12" t="s">
        <v>18705</v>
      </c>
    </row>
    <row r="1530" spans="1:14">
      <c r="A1530" s="12" t="s">
        <v>10674</v>
      </c>
      <c r="B1530" s="8">
        <v>2536.0444646828901</v>
      </c>
      <c r="C1530" s="12">
        <v>5282.3515760697601</v>
      </c>
      <c r="D1530" s="8">
        <v>-1.05860028517723</v>
      </c>
      <c r="E1530" s="12">
        <v>3.08272624843483E-3</v>
      </c>
      <c r="F1530" s="8" t="s">
        <v>9024</v>
      </c>
      <c r="G1530" s="12" t="s">
        <v>9025</v>
      </c>
      <c r="H1530" s="12">
        <v>1</v>
      </c>
      <c r="I1530" s="13" t="str">
        <f>HYPERLINK("http://www.ncbi.nlm.nih.gov/gene/57636", "57636")</f>
        <v>57636</v>
      </c>
      <c r="J1530" s="13" t="str">
        <f>HYPERLINK("http://www.ncbi.nlm.nih.gov/nuccore/NM_001199417", "NM_001199417")</f>
        <v>NM_001199417</v>
      </c>
      <c r="K1530" s="12" t="s">
        <v>9026</v>
      </c>
      <c r="L1530" s="13" t="str">
        <f>HYPERLINK("http://asia.ensembl.org/Homo_sapiens/Gene/Summary?g=ENSG00000273780", "ENSG00000273780")</f>
        <v>ENSG00000273780</v>
      </c>
      <c r="M1530" s="12" t="s">
        <v>19821</v>
      </c>
      <c r="N1530" s="12" t="s">
        <v>19822</v>
      </c>
    </row>
    <row r="1531" spans="1:14">
      <c r="A1531" s="12" t="s">
        <v>8474</v>
      </c>
      <c r="B1531" s="8">
        <v>89722.697874799094</v>
      </c>
      <c r="C1531" s="12">
        <v>186860.75561233101</v>
      </c>
      <c r="D1531" s="8">
        <v>-1.0584187002845999</v>
      </c>
      <c r="E1531" s="12">
        <v>1.6975021086506802E-2</v>
      </c>
      <c r="F1531" s="8" t="s">
        <v>2991</v>
      </c>
      <c r="G1531" s="12" t="s">
        <v>15570</v>
      </c>
      <c r="H1531" s="12">
        <v>1</v>
      </c>
      <c r="I1531" s="13" t="str">
        <f>HYPERLINK("http://www.ncbi.nlm.nih.gov/gene/5688", "5688")</f>
        <v>5688</v>
      </c>
      <c r="J1531" s="13" t="str">
        <f>HYPERLINK("http://www.ncbi.nlm.nih.gov/nuccore/NM_002792", "NM_002792")</f>
        <v>NM_002792</v>
      </c>
      <c r="K1531" s="12" t="s">
        <v>2992</v>
      </c>
      <c r="L1531" s="13" t="str">
        <f>HYPERLINK("http://asia.ensembl.org/Homo_sapiens/Gene/Summary?g=ENSG00000101182", "ENSG00000101182")</f>
        <v>ENSG00000101182</v>
      </c>
      <c r="M1531" s="12" t="s">
        <v>17163</v>
      </c>
      <c r="N1531" s="12" t="s">
        <v>17164</v>
      </c>
    </row>
    <row r="1532" spans="1:14">
      <c r="A1532" s="12" t="s">
        <v>11689</v>
      </c>
      <c r="B1532" s="8">
        <v>365.46795988456603</v>
      </c>
      <c r="C1532" s="12">
        <v>761.03024969808803</v>
      </c>
      <c r="D1532" s="8">
        <v>-1.0582088671529799</v>
      </c>
      <c r="E1532" s="12">
        <v>5.2633679757124498E-3</v>
      </c>
      <c r="F1532" s="8" t="s">
        <v>38</v>
      </c>
      <c r="G1532" s="12" t="s">
        <v>38</v>
      </c>
      <c r="H1532" s="12">
        <v>1</v>
      </c>
      <c r="I1532" s="12" t="s">
        <v>38</v>
      </c>
      <c r="J1532" s="12" t="s">
        <v>38</v>
      </c>
      <c r="K1532" s="12" t="s">
        <v>38</v>
      </c>
      <c r="L1532" s="12" t="s">
        <v>11690</v>
      </c>
      <c r="M1532" s="12" t="s">
        <v>11691</v>
      </c>
      <c r="N1532" s="12" t="s">
        <v>20182</v>
      </c>
    </row>
    <row r="1533" spans="1:14">
      <c r="A1533" s="12" t="s">
        <v>740</v>
      </c>
      <c r="B1533" s="8">
        <v>3017.3612490447199</v>
      </c>
      <c r="C1533" s="12">
        <v>6281.1879438979604</v>
      </c>
      <c r="D1533" s="8">
        <v>-1.0577500065672301</v>
      </c>
      <c r="E1533" s="12">
        <v>8.4074476496627908E-3</v>
      </c>
      <c r="F1533" s="8" t="s">
        <v>741</v>
      </c>
      <c r="G1533" s="12" t="s">
        <v>742</v>
      </c>
      <c r="H1533" s="12">
        <v>1</v>
      </c>
      <c r="I1533" s="13" t="str">
        <f>HYPERLINK("http://www.ncbi.nlm.nih.gov/gene/400043", "400043")</f>
        <v>400043</v>
      </c>
      <c r="J1533" s="13" t="str">
        <f>HYPERLINK("http://www.ncbi.nlm.nih.gov/nuccore/NR_026656", "NR_026656")</f>
        <v>NR_026656</v>
      </c>
      <c r="K1533" s="12" t="s">
        <v>199</v>
      </c>
      <c r="L1533" s="13" t="str">
        <f>HYPERLINK("http://asia.ensembl.org/Homo_sapiens/Gene/Summary?g=ENSG00000250742", "ENSG00000250742")</f>
        <v>ENSG00000250742</v>
      </c>
      <c r="M1533" s="12" t="s">
        <v>743</v>
      </c>
    </row>
    <row r="1534" spans="1:14">
      <c r="A1534" s="12" t="s">
        <v>9231</v>
      </c>
      <c r="B1534" s="8">
        <v>10523.832974998701</v>
      </c>
      <c r="C1534" s="12">
        <v>21904.113528980899</v>
      </c>
      <c r="D1534" s="8">
        <v>-1.05754157259958</v>
      </c>
      <c r="E1534" s="12">
        <v>5.58426883793496E-3</v>
      </c>
      <c r="F1534" s="8" t="s">
        <v>9232</v>
      </c>
      <c r="G1534" s="12" t="s">
        <v>9233</v>
      </c>
      <c r="H1534" s="12">
        <v>1</v>
      </c>
      <c r="I1534" s="13" t="str">
        <f>HYPERLINK("http://www.ncbi.nlm.nih.gov/gene/114770", "114770")</f>
        <v>114770</v>
      </c>
      <c r="J1534" s="13" t="str">
        <f>HYPERLINK("http://www.ncbi.nlm.nih.gov/nuccore/NM_052890", "NM_052890")</f>
        <v>NM_052890</v>
      </c>
      <c r="K1534" s="12" t="s">
        <v>9234</v>
      </c>
      <c r="L1534" s="13" t="str">
        <f>HYPERLINK("http://asia.ensembl.org/Homo_sapiens/Gene/Summary?g=ENSG00000161031", "ENSG00000161031")</f>
        <v>ENSG00000161031</v>
      </c>
      <c r="M1534" s="12" t="s">
        <v>19105</v>
      </c>
      <c r="N1534" s="12" t="s">
        <v>19106</v>
      </c>
    </row>
    <row r="1535" spans="1:14">
      <c r="A1535" s="12" t="s">
        <v>9729</v>
      </c>
      <c r="B1535" s="8">
        <v>4904.5621809529102</v>
      </c>
      <c r="C1535" s="12">
        <v>10208.071164995499</v>
      </c>
      <c r="D1535" s="8">
        <v>-1.0575140306992401</v>
      </c>
      <c r="E1535" s="12">
        <v>8.1015597852057502E-4</v>
      </c>
      <c r="F1535" s="8" t="s">
        <v>9730</v>
      </c>
      <c r="G1535" s="12" t="s">
        <v>9731</v>
      </c>
      <c r="H1535" s="12">
        <v>1</v>
      </c>
      <c r="I1535" s="13" t="str">
        <f>HYPERLINK("http://www.ncbi.nlm.nih.gov/gene/1528", "1528")</f>
        <v>1528</v>
      </c>
      <c r="J1535" s="13" t="str">
        <f>HYPERLINK("http://www.ncbi.nlm.nih.gov/nuccore/NM_001914", "NM_001914")</f>
        <v>NM_001914</v>
      </c>
      <c r="K1535" s="12" t="s">
        <v>9732</v>
      </c>
      <c r="L1535" s="13" t="str">
        <f>HYPERLINK("http://asia.ensembl.org/Homo_sapiens/Gene/Summary?g=ENSG00000166347", "ENSG00000166347")</f>
        <v>ENSG00000166347</v>
      </c>
      <c r="M1535" s="12" t="s">
        <v>19281</v>
      </c>
      <c r="N1535" s="12" t="s">
        <v>19282</v>
      </c>
    </row>
    <row r="1536" spans="1:14">
      <c r="A1536" s="12" t="s">
        <v>3161</v>
      </c>
      <c r="B1536" s="8">
        <v>2295.0849263545701</v>
      </c>
      <c r="C1536" s="12">
        <v>4776.1133698933199</v>
      </c>
      <c r="D1536" s="8">
        <v>-1.05728954254135</v>
      </c>
      <c r="E1536" s="12">
        <v>1.47628555279576E-3</v>
      </c>
      <c r="F1536" s="8" t="s">
        <v>3162</v>
      </c>
      <c r="G1536" s="12" t="s">
        <v>3163</v>
      </c>
      <c r="H1536" s="12">
        <v>1</v>
      </c>
      <c r="I1536" s="13" t="str">
        <f>HYPERLINK("http://www.ncbi.nlm.nih.gov/gene/54780", "54780")</f>
        <v>54780</v>
      </c>
      <c r="J1536" s="12" t="s">
        <v>17226</v>
      </c>
      <c r="K1536" s="12" t="s">
        <v>17227</v>
      </c>
      <c r="L1536" s="13" t="str">
        <f>HYPERLINK("http://asia.ensembl.org/Homo_sapiens/Gene/Summary?g=ENSG00000107672", "ENSG00000107672")</f>
        <v>ENSG00000107672</v>
      </c>
      <c r="M1536" s="12" t="s">
        <v>17228</v>
      </c>
      <c r="N1536" s="12" t="s">
        <v>17229</v>
      </c>
    </row>
    <row r="1537" spans="1:14">
      <c r="A1537" s="12" t="s">
        <v>10686</v>
      </c>
      <c r="B1537" s="8">
        <v>10795.244851473</v>
      </c>
      <c r="C1537" s="12">
        <v>22460.797369640801</v>
      </c>
      <c r="D1537" s="8">
        <v>-1.0570131789471999</v>
      </c>
      <c r="E1537" s="12">
        <v>7.6131199422358404E-3</v>
      </c>
      <c r="F1537" s="8" t="s">
        <v>8844</v>
      </c>
      <c r="G1537" s="12" t="s">
        <v>8845</v>
      </c>
      <c r="H1537" s="12">
        <v>1</v>
      </c>
      <c r="I1537" s="13" t="str">
        <f>HYPERLINK("http://www.ncbi.nlm.nih.gov/gene/55159", "55159")</f>
        <v>55159</v>
      </c>
      <c r="J1537" s="13" t="str">
        <f>HYPERLINK("http://www.ncbi.nlm.nih.gov/nuccore/NM_018124", "NM_018124")</f>
        <v>NM_018124</v>
      </c>
      <c r="K1537" s="12" t="s">
        <v>8846</v>
      </c>
      <c r="L1537" s="13" t="str">
        <f>HYPERLINK("http://asia.ensembl.org/Homo_sapiens/Gene/Summary?g=ENSG00000168411", "ENSG00000168411")</f>
        <v>ENSG00000168411</v>
      </c>
      <c r="M1537" s="12" t="s">
        <v>19827</v>
      </c>
      <c r="N1537" s="12" t="s">
        <v>19828</v>
      </c>
    </row>
    <row r="1538" spans="1:14">
      <c r="A1538" s="12" t="s">
        <v>2273</v>
      </c>
      <c r="B1538" s="8">
        <v>440.74135153325699</v>
      </c>
      <c r="C1538" s="12">
        <v>916.74140431868295</v>
      </c>
      <c r="D1538" s="8">
        <v>-1.05658257332195</v>
      </c>
      <c r="E1538" s="12">
        <v>1.2372909029281899E-2</v>
      </c>
      <c r="F1538" s="8" t="s">
        <v>2274</v>
      </c>
      <c r="G1538" s="12" t="s">
        <v>2275</v>
      </c>
      <c r="H1538" s="12">
        <v>1</v>
      </c>
      <c r="I1538" s="13" t="str">
        <f>HYPERLINK("http://www.ncbi.nlm.nih.gov/gene/148304", "148304")</f>
        <v>148304</v>
      </c>
      <c r="J1538" s="13" t="str">
        <f>HYPERLINK("http://www.ncbi.nlm.nih.gov/nuccore/NM_152485", "NM_152485")</f>
        <v>NM_152485</v>
      </c>
      <c r="K1538" s="12" t="s">
        <v>2276</v>
      </c>
      <c r="L1538" s="13" t="str">
        <f>HYPERLINK("http://asia.ensembl.org/Homo_sapiens/Gene/Summary?g=ENSG00000162757", "ENSG00000162757")</f>
        <v>ENSG00000162757</v>
      </c>
      <c r="M1538" s="12" t="s">
        <v>2277</v>
      </c>
      <c r="N1538" s="12" t="s">
        <v>2278</v>
      </c>
    </row>
    <row r="1539" spans="1:14">
      <c r="A1539" s="12" t="s">
        <v>11786</v>
      </c>
      <c r="B1539" s="8">
        <v>20826.615270803701</v>
      </c>
      <c r="C1539" s="12">
        <v>43302.282905020598</v>
      </c>
      <c r="D1539" s="8">
        <v>-1.0560146936439401</v>
      </c>
      <c r="E1539" s="12">
        <v>6.0029124314319397E-3</v>
      </c>
      <c r="F1539" s="8" t="s">
        <v>8428</v>
      </c>
      <c r="G1539" s="12" t="s">
        <v>8429</v>
      </c>
      <c r="H1539" s="12">
        <v>1</v>
      </c>
      <c r="I1539" s="13" t="str">
        <f>HYPERLINK("http://www.ncbi.nlm.nih.gov/gene/6182", "6182")</f>
        <v>6182</v>
      </c>
      <c r="J1539" s="13" t="str">
        <f>HYPERLINK("http://www.ncbi.nlm.nih.gov/nuccore/NM_002949", "NM_002949")</f>
        <v>NM_002949</v>
      </c>
      <c r="K1539" s="12" t="s">
        <v>8430</v>
      </c>
      <c r="L1539" s="13" t="str">
        <f>HYPERLINK("http://asia.ensembl.org/Homo_sapiens/Gene/Summary?g=ENSG00000262814", "ENSG00000262814")</f>
        <v>ENSG00000262814</v>
      </c>
      <c r="M1539" s="12" t="s">
        <v>20205</v>
      </c>
      <c r="N1539" s="12" t="s">
        <v>20206</v>
      </c>
    </row>
    <row r="1540" spans="1:14">
      <c r="A1540" s="12" t="s">
        <v>2701</v>
      </c>
      <c r="B1540" s="8">
        <v>3561.4947025707802</v>
      </c>
      <c r="C1540" s="12">
        <v>7399.64687067876</v>
      </c>
      <c r="D1540" s="8">
        <v>-1.0549735790344501</v>
      </c>
      <c r="E1540" s="12">
        <v>3.4416287925180199E-3</v>
      </c>
      <c r="F1540" s="8" t="s">
        <v>2702</v>
      </c>
      <c r="G1540" s="12" t="s">
        <v>2703</v>
      </c>
      <c r="H1540" s="12">
        <v>1</v>
      </c>
      <c r="I1540" s="13" t="str">
        <f>HYPERLINK("http://www.ncbi.nlm.nih.gov/gene/8498", "8498")</f>
        <v>8498</v>
      </c>
      <c r="J1540" s="12" t="s">
        <v>17085</v>
      </c>
      <c r="K1540" s="12" t="s">
        <v>17086</v>
      </c>
      <c r="L1540" s="13" t="str">
        <f>HYPERLINK("http://asia.ensembl.org/Homo_sapiens/Gene/Summary?g=ENSG00000031823", "ENSG00000031823")</f>
        <v>ENSG00000031823</v>
      </c>
      <c r="M1540" s="12" t="s">
        <v>17087</v>
      </c>
      <c r="N1540" s="12" t="s">
        <v>17088</v>
      </c>
    </row>
    <row r="1541" spans="1:14">
      <c r="A1541" s="12" t="s">
        <v>6450</v>
      </c>
      <c r="B1541" s="8">
        <v>3745.8074782972699</v>
      </c>
      <c r="C1541" s="12">
        <v>7782.4011240157897</v>
      </c>
      <c r="D1541" s="8">
        <v>-1.0549385903714099</v>
      </c>
      <c r="E1541" s="12">
        <v>6.3510480741123896E-3</v>
      </c>
      <c r="F1541" s="8" t="s">
        <v>6451</v>
      </c>
      <c r="G1541" s="12" t="s">
        <v>6452</v>
      </c>
      <c r="H1541" s="12">
        <v>1</v>
      </c>
      <c r="I1541" s="13" t="str">
        <f>HYPERLINK("http://www.ncbi.nlm.nih.gov/gene/55974", "55974")</f>
        <v>55974</v>
      </c>
      <c r="J1541" s="12" t="s">
        <v>18170</v>
      </c>
      <c r="K1541" s="12" t="s">
        <v>18171</v>
      </c>
      <c r="L1541" s="13" t="str">
        <f>HYPERLINK("http://asia.ensembl.org/Homo_sapiens/Gene/Summary?g=ENSG00000169241", "ENSG00000169241")</f>
        <v>ENSG00000169241</v>
      </c>
      <c r="M1541" s="12" t="s">
        <v>18172</v>
      </c>
      <c r="N1541" s="12" t="s">
        <v>18173</v>
      </c>
    </row>
    <row r="1542" spans="1:14">
      <c r="A1542" s="12" t="s">
        <v>6510</v>
      </c>
      <c r="B1542" s="8">
        <v>125.86089684812499</v>
      </c>
      <c r="C1542" s="12">
        <v>261.45603306692499</v>
      </c>
      <c r="D1542" s="8">
        <v>-1.0547382323013801</v>
      </c>
      <c r="E1542" s="12">
        <v>3.2469747421285201E-2</v>
      </c>
      <c r="F1542" s="8" t="s">
        <v>6511</v>
      </c>
      <c r="G1542" s="12" t="s">
        <v>18192</v>
      </c>
      <c r="H1542" s="12">
        <v>1</v>
      </c>
      <c r="I1542" s="13" t="str">
        <f>HYPERLINK("http://www.ncbi.nlm.nih.gov/gene/2902", "2902")</f>
        <v>2902</v>
      </c>
      <c r="J1542" s="12" t="s">
        <v>18193</v>
      </c>
      <c r="K1542" s="12" t="s">
        <v>18194</v>
      </c>
      <c r="L1542" s="13" t="str">
        <f>HYPERLINK("http://asia.ensembl.org/Homo_sapiens/Gene/Summary?g=ENSG00000176884", "ENSG00000176884")</f>
        <v>ENSG00000176884</v>
      </c>
      <c r="M1542" s="12" t="s">
        <v>18195</v>
      </c>
      <c r="N1542" s="12" t="s">
        <v>18196</v>
      </c>
    </row>
    <row r="1543" spans="1:14">
      <c r="A1543" s="12" t="s">
        <v>925</v>
      </c>
      <c r="B1543" s="8">
        <v>7152.2792856891801</v>
      </c>
      <c r="C1543" s="12">
        <v>14854.7076245765</v>
      </c>
      <c r="D1543" s="8">
        <v>-1.05444523204352</v>
      </c>
      <c r="E1543" s="12">
        <v>5.0207025524724802E-3</v>
      </c>
      <c r="F1543" s="8" t="s">
        <v>926</v>
      </c>
      <c r="G1543" s="12" t="s">
        <v>927</v>
      </c>
      <c r="H1543" s="12">
        <v>1</v>
      </c>
      <c r="I1543" s="13" t="str">
        <f>HYPERLINK("http://www.ncbi.nlm.nih.gov/gene/55229", "55229")</f>
        <v>55229</v>
      </c>
      <c r="J1543" s="13" t="str">
        <f>HYPERLINK("http://www.ncbi.nlm.nih.gov/nuccore/NM_018216", "NM_018216")</f>
        <v>NM_018216</v>
      </c>
      <c r="K1543" s="12" t="s">
        <v>928</v>
      </c>
      <c r="L1543" s="13" t="str">
        <f>HYPERLINK("http://asia.ensembl.org/Homo_sapiens/Gene/Summary?g=ENSG00000273494", "ENSG00000273494")</f>
        <v>ENSG00000273494</v>
      </c>
      <c r="M1543" s="12" t="s">
        <v>16467</v>
      </c>
      <c r="N1543" s="12" t="s">
        <v>16468</v>
      </c>
    </row>
    <row r="1544" spans="1:14">
      <c r="A1544" s="12" t="s">
        <v>7302</v>
      </c>
      <c r="B1544" s="8">
        <v>20246.2417517342</v>
      </c>
      <c r="C1544" s="12">
        <v>42048.570105104998</v>
      </c>
      <c r="D1544" s="8">
        <v>-1.0544026115699701</v>
      </c>
      <c r="E1544" s="12">
        <v>1.44766805229792E-2</v>
      </c>
      <c r="F1544" s="8" t="s">
        <v>7303</v>
      </c>
      <c r="G1544" s="12" t="s">
        <v>7304</v>
      </c>
      <c r="H1544" s="12">
        <v>1</v>
      </c>
      <c r="I1544" s="13" t="str">
        <f>HYPERLINK("http://www.ncbi.nlm.nih.gov/gene/9045", "9045")</f>
        <v>9045</v>
      </c>
      <c r="J1544" s="12" t="s">
        <v>18471</v>
      </c>
      <c r="K1544" s="12" t="s">
        <v>18472</v>
      </c>
      <c r="L1544" s="13" t="str">
        <f>HYPERLINK("http://asia.ensembl.org/Homo_sapiens/Gene/Summary?g=ENSG00000188846", "ENSG00000188846")</f>
        <v>ENSG00000188846</v>
      </c>
      <c r="M1544" s="12" t="s">
        <v>18473</v>
      </c>
      <c r="N1544" s="12" t="s">
        <v>18474</v>
      </c>
    </row>
    <row r="1545" spans="1:14">
      <c r="A1545" s="12" t="s">
        <v>4435</v>
      </c>
      <c r="B1545" s="8">
        <v>4735.3338239887498</v>
      </c>
      <c r="C1545" s="12">
        <v>9830.7828241803709</v>
      </c>
      <c r="D1545" s="8">
        <v>-1.05384016870542</v>
      </c>
      <c r="E1545" s="12">
        <v>2.2893729694497301E-3</v>
      </c>
      <c r="F1545" s="8" t="s">
        <v>4436</v>
      </c>
      <c r="G1545" s="12" t="s">
        <v>4437</v>
      </c>
      <c r="H1545" s="12">
        <v>1</v>
      </c>
      <c r="I1545" s="13" t="str">
        <f>HYPERLINK("http://www.ncbi.nlm.nih.gov/gene/90701", "90701")</f>
        <v>90701</v>
      </c>
      <c r="J1545" s="13" t="str">
        <f>HYPERLINK("http://www.ncbi.nlm.nih.gov/nuccore/NM_033280", "NM_033280")</f>
        <v>NM_033280</v>
      </c>
      <c r="K1545" s="12" t="s">
        <v>4438</v>
      </c>
      <c r="L1545" s="13" t="str">
        <f>HYPERLINK("http://asia.ensembl.org/Homo_sapiens/Gene/Summary?g=ENSG00000166562", "ENSG00000166562")</f>
        <v>ENSG00000166562</v>
      </c>
      <c r="M1545" s="12" t="s">
        <v>17685</v>
      </c>
      <c r="N1545" s="12" t="s">
        <v>17686</v>
      </c>
    </row>
    <row r="1546" spans="1:14">
      <c r="A1546" s="12" t="s">
        <v>7398</v>
      </c>
      <c r="B1546" s="8">
        <v>599.65408920603397</v>
      </c>
      <c r="C1546" s="12">
        <v>1244.8994237704301</v>
      </c>
      <c r="D1546" s="8">
        <v>-1.05382676439594</v>
      </c>
      <c r="E1546" s="12">
        <v>8.2732670580787007E-3</v>
      </c>
      <c r="F1546" s="8" t="s">
        <v>6343</v>
      </c>
      <c r="G1546" s="12" t="s">
        <v>6344</v>
      </c>
      <c r="H1546" s="12">
        <v>1</v>
      </c>
      <c r="I1546" s="13" t="str">
        <f>HYPERLINK("http://www.ncbi.nlm.nih.gov/gene/29087", "29087")</f>
        <v>29087</v>
      </c>
      <c r="J1546" s="12" t="s">
        <v>18506</v>
      </c>
      <c r="K1546" s="12" t="s">
        <v>18507</v>
      </c>
      <c r="L1546" s="13" t="str">
        <f>HYPERLINK("http://asia.ensembl.org/Homo_sapiens/Gene/Summary?g=ENSG00000151500", "ENSG00000151500")</f>
        <v>ENSG00000151500</v>
      </c>
      <c r="M1546" s="12" t="s">
        <v>18508</v>
      </c>
      <c r="N1546" s="12" t="s">
        <v>18509</v>
      </c>
    </row>
    <row r="1547" spans="1:14">
      <c r="A1547" s="12" t="s">
        <v>11334</v>
      </c>
      <c r="B1547" s="8">
        <v>8135.5126572334802</v>
      </c>
      <c r="C1547" s="12">
        <v>16885.2386292056</v>
      </c>
      <c r="D1547" s="8">
        <v>-1.0534574033238799</v>
      </c>
      <c r="E1547" s="12">
        <v>9.9548982513496601E-3</v>
      </c>
      <c r="F1547" s="8" t="s">
        <v>6482</v>
      </c>
      <c r="G1547" s="12" t="s">
        <v>6483</v>
      </c>
      <c r="H1547" s="12">
        <v>4</v>
      </c>
      <c r="I1547" s="12" t="s">
        <v>6484</v>
      </c>
      <c r="J1547" s="12" t="s">
        <v>6485</v>
      </c>
      <c r="K1547" s="12" t="s">
        <v>6486</v>
      </c>
      <c r="L1547" s="12" t="s">
        <v>6487</v>
      </c>
      <c r="M1547" s="12" t="s">
        <v>6488</v>
      </c>
      <c r="N1547" s="12" t="s">
        <v>4203</v>
      </c>
    </row>
    <row r="1548" spans="1:14">
      <c r="A1548" s="12" t="s">
        <v>2533</v>
      </c>
      <c r="B1548" s="8">
        <v>287.11962115049801</v>
      </c>
      <c r="C1548" s="12">
        <v>595.89555980543196</v>
      </c>
      <c r="D1548" s="8">
        <v>-1.05340757288683</v>
      </c>
      <c r="E1548" s="12">
        <v>3.5580223599205098E-5</v>
      </c>
      <c r="F1548" s="8" t="s">
        <v>2534</v>
      </c>
      <c r="G1548" s="12" t="s">
        <v>2535</v>
      </c>
      <c r="H1548" s="12">
        <v>1</v>
      </c>
      <c r="I1548" s="13" t="str">
        <f>HYPERLINK("http://www.ncbi.nlm.nih.gov/gene/155368", "155368")</f>
        <v>155368</v>
      </c>
      <c r="J1548" s="13" t="str">
        <f>HYPERLINK("http://www.ncbi.nlm.nih.gov/nuccore/NM_152559", "NM_152559")</f>
        <v>NM_152559</v>
      </c>
      <c r="K1548" s="12" t="s">
        <v>2536</v>
      </c>
      <c r="L1548" s="13" t="str">
        <f>HYPERLINK("http://asia.ensembl.org/Homo_sapiens/Gene/Summary?g=ENSG00000165171", "ENSG00000165171")</f>
        <v>ENSG00000165171</v>
      </c>
      <c r="M1548" s="12" t="s">
        <v>17023</v>
      </c>
      <c r="N1548" s="12" t="s">
        <v>17024</v>
      </c>
    </row>
    <row r="1549" spans="1:14">
      <c r="A1549" s="12" t="s">
        <v>1939</v>
      </c>
      <c r="B1549" s="8">
        <v>1496.5362651548</v>
      </c>
      <c r="C1549" s="12">
        <v>3105.0903965734201</v>
      </c>
      <c r="D1549" s="8">
        <v>-1.0530080296495301</v>
      </c>
      <c r="E1549" s="12">
        <v>8.8243492573079397E-4</v>
      </c>
      <c r="F1549" s="8" t="s">
        <v>1940</v>
      </c>
      <c r="G1549" s="12" t="s">
        <v>1941</v>
      </c>
      <c r="H1549" s="12">
        <v>1</v>
      </c>
      <c r="I1549" s="13" t="str">
        <f>HYPERLINK("http://www.ncbi.nlm.nih.gov/gene/130355", "130355")</f>
        <v>130355</v>
      </c>
      <c r="J1549" s="13" t="str">
        <f>HYPERLINK("http://www.ncbi.nlm.nih.gov/nuccore/NM_001017927", "NM_001017927")</f>
        <v>NM_001017927</v>
      </c>
      <c r="K1549" s="12" t="s">
        <v>1942</v>
      </c>
      <c r="L1549" s="13" t="str">
        <f>HYPERLINK("http://asia.ensembl.org/Homo_sapiens/Gene/Summary?g=ENSG00000186132", "ENSG00000186132")</f>
        <v>ENSG00000186132</v>
      </c>
      <c r="M1549" s="12" t="s">
        <v>16844</v>
      </c>
      <c r="N1549" s="12" t="s">
        <v>16845</v>
      </c>
    </row>
    <row r="1550" spans="1:14">
      <c r="A1550" s="12" t="s">
        <v>10382</v>
      </c>
      <c r="B1550" s="8">
        <v>168.132812070434</v>
      </c>
      <c r="C1550" s="12">
        <v>348.82965391124498</v>
      </c>
      <c r="D1550" s="8">
        <v>-1.0529213862715801</v>
      </c>
      <c r="E1550" s="12">
        <v>7.9469491526487305E-3</v>
      </c>
      <c r="F1550" s="8" t="s">
        <v>10383</v>
      </c>
      <c r="G1550" s="12" t="s">
        <v>19709</v>
      </c>
      <c r="H1550" s="12">
        <v>4</v>
      </c>
      <c r="I1550" s="12" t="s">
        <v>10384</v>
      </c>
      <c r="J1550" s="12" t="s">
        <v>10385</v>
      </c>
      <c r="K1550" s="12" t="s">
        <v>10386</v>
      </c>
      <c r="L1550" s="12" t="s">
        <v>10387</v>
      </c>
      <c r="M1550" s="12" t="s">
        <v>19710</v>
      </c>
      <c r="N1550" s="12" t="s">
        <v>19711</v>
      </c>
    </row>
    <row r="1551" spans="1:14">
      <c r="A1551" s="12" t="s">
        <v>3625</v>
      </c>
      <c r="B1551" s="8">
        <v>3322.3260614791402</v>
      </c>
      <c r="C1551" s="12">
        <v>6890.4417019248203</v>
      </c>
      <c r="D1551" s="8">
        <v>-1.0524027978116901</v>
      </c>
      <c r="E1551" s="12">
        <v>7.2127203876041299E-3</v>
      </c>
      <c r="F1551" s="8" t="s">
        <v>3626</v>
      </c>
      <c r="G1551" s="12" t="s">
        <v>3627</v>
      </c>
      <c r="H1551" s="12">
        <v>1</v>
      </c>
      <c r="I1551" s="13" t="str">
        <f>HYPERLINK("http://www.ncbi.nlm.nih.gov/gene/79159", "79159")</f>
        <v>79159</v>
      </c>
      <c r="J1551" s="13" t="str">
        <f>HYPERLINK("http://www.ncbi.nlm.nih.gov/nuccore/NM_024313", "NM_024313")</f>
        <v>NM_024313</v>
      </c>
      <c r="K1551" s="12" t="s">
        <v>3628</v>
      </c>
      <c r="L1551" s="13" t="str">
        <f>HYPERLINK("http://asia.ensembl.org/Homo_sapiens/Gene/Summary?g=ENSG00000273899", "ENSG00000273899")</f>
        <v>ENSG00000273899</v>
      </c>
      <c r="M1551" s="12" t="s">
        <v>17357</v>
      </c>
      <c r="N1551" s="12" t="s">
        <v>17358</v>
      </c>
    </row>
    <row r="1552" spans="1:14">
      <c r="A1552" s="12" t="s">
        <v>11705</v>
      </c>
      <c r="B1552" s="8">
        <v>1660.67147367402</v>
      </c>
      <c r="C1552" s="12">
        <v>3443.69045812689</v>
      </c>
      <c r="D1552" s="8">
        <v>-1.05218877259457</v>
      </c>
      <c r="E1552" s="12">
        <v>4.0479218040596698E-4</v>
      </c>
      <c r="F1552" s="8" t="s">
        <v>38</v>
      </c>
      <c r="G1552" s="12" t="s">
        <v>38</v>
      </c>
      <c r="H1552" s="12">
        <v>1</v>
      </c>
      <c r="I1552" s="12" t="s">
        <v>38</v>
      </c>
      <c r="J1552" s="12" t="s">
        <v>38</v>
      </c>
      <c r="K1552" s="12" t="s">
        <v>38</v>
      </c>
      <c r="L1552" s="12" t="s">
        <v>11706</v>
      </c>
      <c r="M1552" s="12" t="s">
        <v>11707</v>
      </c>
      <c r="N1552" s="12" t="s">
        <v>11708</v>
      </c>
    </row>
    <row r="1553" spans="1:14">
      <c r="A1553" s="12" t="s">
        <v>7259</v>
      </c>
      <c r="B1553" s="8">
        <v>156177.820966128</v>
      </c>
      <c r="C1553" s="12">
        <v>323782.88539088401</v>
      </c>
      <c r="D1553" s="8">
        <v>-1.05183714040831</v>
      </c>
      <c r="E1553" s="12">
        <v>1.8136258505094201E-2</v>
      </c>
      <c r="F1553" s="8" t="s">
        <v>7260</v>
      </c>
      <c r="G1553" s="12" t="s">
        <v>7261</v>
      </c>
      <c r="H1553" s="12">
        <v>1</v>
      </c>
      <c r="I1553" s="13" t="str">
        <f>HYPERLINK("http://www.ncbi.nlm.nih.gov/gene/6205", "6205")</f>
        <v>6205</v>
      </c>
      <c r="J1553" s="13" t="str">
        <f>HYPERLINK("http://www.ncbi.nlm.nih.gov/nuccore/NM_001015", "NM_001015")</f>
        <v>NM_001015</v>
      </c>
      <c r="K1553" s="12" t="s">
        <v>7262</v>
      </c>
      <c r="L1553" s="13" t="str">
        <f>HYPERLINK("http://asia.ensembl.org/Homo_sapiens/Gene/Summary?g=ENSG00000142534", "ENSG00000142534")</f>
        <v>ENSG00000142534</v>
      </c>
      <c r="M1553" s="12" t="s">
        <v>18453</v>
      </c>
      <c r="N1553" s="12" t="s">
        <v>18454</v>
      </c>
    </row>
    <row r="1554" spans="1:14">
      <c r="A1554" s="12" t="s">
        <v>7101</v>
      </c>
      <c r="B1554" s="8">
        <v>6641.25739732274</v>
      </c>
      <c r="C1554" s="12">
        <v>13767.252487956001</v>
      </c>
      <c r="D1554" s="8">
        <v>-1.0517123517429701</v>
      </c>
      <c r="E1554" s="12">
        <v>8.8231015124090092E-3</v>
      </c>
      <c r="F1554" s="8" t="s">
        <v>7102</v>
      </c>
      <c r="G1554" s="12" t="s">
        <v>7103</v>
      </c>
      <c r="H1554" s="12">
        <v>1</v>
      </c>
      <c r="I1554" s="13" t="str">
        <f>HYPERLINK("http://www.ncbi.nlm.nih.gov/gene/57418", "57418")</f>
        <v>57418</v>
      </c>
      <c r="J1554" s="13" t="str">
        <f>HYPERLINK("http://www.ncbi.nlm.nih.gov/nuccore/NM_024100", "NM_024100")</f>
        <v>NM_024100</v>
      </c>
      <c r="K1554" s="12" t="s">
        <v>7104</v>
      </c>
      <c r="L1554" s="13" t="str">
        <f>HYPERLINK("http://asia.ensembl.org/Homo_sapiens/Gene/Summary?g=ENSG00000065268", "ENSG00000065268")</f>
        <v>ENSG00000065268</v>
      </c>
      <c r="M1554" s="12" t="s">
        <v>18370</v>
      </c>
      <c r="N1554" s="12" t="s">
        <v>18371</v>
      </c>
    </row>
    <row r="1555" spans="1:14">
      <c r="A1555" s="12" t="s">
        <v>9074</v>
      </c>
      <c r="B1555" s="8">
        <v>55603.840046072102</v>
      </c>
      <c r="C1555" s="12">
        <v>115190.73623682</v>
      </c>
      <c r="D1555" s="8">
        <v>-1.05076827316905</v>
      </c>
      <c r="E1555" s="12">
        <v>1.10746759686458E-2</v>
      </c>
      <c r="F1555" s="8" t="s">
        <v>1601</v>
      </c>
      <c r="G1555" s="12" t="s">
        <v>16703</v>
      </c>
      <c r="H1555" s="12">
        <v>1</v>
      </c>
      <c r="I1555" s="13" t="str">
        <f>HYPERLINK("http://www.ncbi.nlm.nih.gov/gene/9296", "9296")</f>
        <v>9296</v>
      </c>
      <c r="J1555" s="12" t="s">
        <v>16704</v>
      </c>
      <c r="K1555" s="12" t="s">
        <v>16705</v>
      </c>
      <c r="L1555" s="13" t="str">
        <f>HYPERLINK("http://asia.ensembl.org/Homo_sapiens/Gene/Summary?g=ENSG00000128524", "ENSG00000128524")</f>
        <v>ENSG00000128524</v>
      </c>
      <c r="M1555" s="12" t="s">
        <v>16706</v>
      </c>
      <c r="N1555" s="12" t="s">
        <v>16707</v>
      </c>
    </row>
    <row r="1556" spans="1:14">
      <c r="A1556" s="12" t="s">
        <v>7018</v>
      </c>
      <c r="B1556" s="8">
        <v>44976.073327017599</v>
      </c>
      <c r="C1556" s="12">
        <v>93171.27635072</v>
      </c>
      <c r="D1556" s="8">
        <v>-1.0507275459424299</v>
      </c>
      <c r="E1556" s="12">
        <v>4.7551468797181803E-3</v>
      </c>
      <c r="F1556" s="8" t="s">
        <v>7019</v>
      </c>
      <c r="G1556" s="12" t="s">
        <v>7020</v>
      </c>
      <c r="H1556" s="12">
        <v>1</v>
      </c>
      <c r="I1556" s="13" t="str">
        <f>HYPERLINK("http://www.ncbi.nlm.nih.gov/gene/6124", "6124")</f>
        <v>6124</v>
      </c>
      <c r="J1556" s="13" t="str">
        <f>HYPERLINK("http://www.ncbi.nlm.nih.gov/nuccore/NM_000968", "NM_000968")</f>
        <v>NM_000968</v>
      </c>
      <c r="K1556" s="12" t="s">
        <v>7021</v>
      </c>
      <c r="L1556" s="13" t="str">
        <f>HYPERLINK("http://asia.ensembl.org/Homo_sapiens/Gene/Summary?g=ENSG00000174444", "ENSG00000174444")</f>
        <v>ENSG00000174444</v>
      </c>
      <c r="M1556" s="12" t="s">
        <v>18339</v>
      </c>
      <c r="N1556" s="12" t="s">
        <v>18340</v>
      </c>
    </row>
    <row r="1557" spans="1:14">
      <c r="A1557" s="12" t="s">
        <v>2801</v>
      </c>
      <c r="B1557" s="8">
        <v>239.70324325291301</v>
      </c>
      <c r="C1557" s="12">
        <v>496.37924055495102</v>
      </c>
      <c r="D1557" s="8">
        <v>-1.0501933515161599</v>
      </c>
      <c r="E1557" s="12">
        <v>2.3007573530619001E-3</v>
      </c>
      <c r="F1557" s="8" t="s">
        <v>2802</v>
      </c>
      <c r="G1557" s="12" t="s">
        <v>2803</v>
      </c>
      <c r="H1557" s="12">
        <v>1</v>
      </c>
      <c r="I1557" s="13" t="str">
        <f>HYPERLINK("http://www.ncbi.nlm.nih.gov/gene/127700", "127700")</f>
        <v>127700</v>
      </c>
      <c r="J1557" s="13" t="str">
        <f>HYPERLINK("http://www.ncbi.nlm.nih.gov/nuccore/NM_145047", "NM_145047")</f>
        <v>NM_145047</v>
      </c>
      <c r="K1557" s="12" t="s">
        <v>2804</v>
      </c>
      <c r="L1557" s="13" t="str">
        <f>HYPERLINK("http://asia.ensembl.org/Homo_sapiens/Gene/Summary?g=ENSG00000116885", "ENSG00000116885")</f>
        <v>ENSG00000116885</v>
      </c>
      <c r="M1557" s="12" t="s">
        <v>17118</v>
      </c>
      <c r="N1557" s="12" t="s">
        <v>17119</v>
      </c>
    </row>
    <row r="1558" spans="1:14">
      <c r="A1558" s="12" t="s">
        <v>4075</v>
      </c>
      <c r="B1558" s="8">
        <v>427.472180031211</v>
      </c>
      <c r="C1558" s="12">
        <v>885.19856669806597</v>
      </c>
      <c r="D1558" s="8">
        <v>-1.0501705829551999</v>
      </c>
      <c r="E1558" s="12">
        <v>1.62936922711093E-3</v>
      </c>
      <c r="F1558" s="8" t="s">
        <v>4076</v>
      </c>
      <c r="G1558" s="12" t="s">
        <v>4077</v>
      </c>
      <c r="H1558" s="12">
        <v>1</v>
      </c>
      <c r="I1558" s="13" t="str">
        <f>HYPERLINK("http://www.ncbi.nlm.nih.gov/gene/51673", "51673")</f>
        <v>51673</v>
      </c>
      <c r="J1558" s="12" t="s">
        <v>17537</v>
      </c>
      <c r="K1558" s="12" t="s">
        <v>17538</v>
      </c>
      <c r="L1558" s="13" t="str">
        <f>HYPERLINK("http://asia.ensembl.org/Homo_sapiens/Gene/Summary?g=ENSG00000159713", "ENSG00000159713")</f>
        <v>ENSG00000159713</v>
      </c>
      <c r="M1558" s="12" t="s">
        <v>17539</v>
      </c>
      <c r="N1558" s="12" t="s">
        <v>17540</v>
      </c>
    </row>
    <row r="1559" spans="1:14">
      <c r="A1559" s="12" t="s">
        <v>9204</v>
      </c>
      <c r="B1559" s="8">
        <v>10288.5138039416</v>
      </c>
      <c r="C1559" s="12">
        <v>21303.149148005301</v>
      </c>
      <c r="D1559" s="8">
        <v>-1.0500321161406401</v>
      </c>
      <c r="E1559" s="12">
        <v>3.7526790478151699E-3</v>
      </c>
      <c r="F1559" s="8" t="s">
        <v>9205</v>
      </c>
      <c r="G1559" s="12" t="s">
        <v>9206</v>
      </c>
      <c r="H1559" s="12">
        <v>1</v>
      </c>
      <c r="I1559" s="13" t="str">
        <f>HYPERLINK("http://www.ncbi.nlm.nih.gov/gene/6727", "6727")</f>
        <v>6727</v>
      </c>
      <c r="J1559" s="13" t="str">
        <f>HYPERLINK("http://www.ncbi.nlm.nih.gov/nuccore/NM_003134", "NM_003134")</f>
        <v>NM_003134</v>
      </c>
      <c r="K1559" s="12" t="s">
        <v>9207</v>
      </c>
      <c r="L1559" s="13" t="str">
        <f>HYPERLINK("http://asia.ensembl.org/Homo_sapiens/Gene/Summary?g=ENSG00000140319", "ENSG00000140319")</f>
        <v>ENSG00000140319</v>
      </c>
      <c r="M1559" s="12" t="s">
        <v>19092</v>
      </c>
      <c r="N1559" s="12" t="s">
        <v>19093</v>
      </c>
    </row>
    <row r="1560" spans="1:14">
      <c r="A1560" s="12" t="s">
        <v>4181</v>
      </c>
      <c r="B1560" s="8">
        <v>8732.3646273757895</v>
      </c>
      <c r="C1560" s="12">
        <v>18073.814173269799</v>
      </c>
      <c r="D1560" s="8">
        <v>-1.0494567170898099</v>
      </c>
      <c r="E1560" s="12">
        <v>5.1209520925784803E-3</v>
      </c>
      <c r="F1560" s="8" t="s">
        <v>4182</v>
      </c>
      <c r="G1560" s="12" t="s">
        <v>4183</v>
      </c>
      <c r="H1560" s="12">
        <v>1</v>
      </c>
      <c r="I1560" s="13" t="str">
        <f>HYPERLINK("http://www.ncbi.nlm.nih.gov/gene/116540", "116540")</f>
        <v>116540</v>
      </c>
      <c r="J1560" s="13" t="str">
        <f>HYPERLINK("http://www.ncbi.nlm.nih.gov/nuccore/NM_053050", "NM_053050")</f>
        <v>NM_053050</v>
      </c>
      <c r="K1560" s="12" t="s">
        <v>4184</v>
      </c>
      <c r="L1560" s="13" t="str">
        <f>HYPERLINK("http://asia.ensembl.org/Homo_sapiens/Gene/Summary?g=ENSG00000204822", "ENSG00000204822")</f>
        <v>ENSG00000204822</v>
      </c>
      <c r="M1560" s="12" t="s">
        <v>17604</v>
      </c>
      <c r="N1560" s="12" t="s">
        <v>17605</v>
      </c>
    </row>
    <row r="1561" spans="1:14">
      <c r="A1561" s="12" t="s">
        <v>4953</v>
      </c>
      <c r="B1561" s="8">
        <v>3351.66268598845</v>
      </c>
      <c r="C1561" s="12">
        <v>6936.2712191622404</v>
      </c>
      <c r="D1561" s="8">
        <v>-1.04928334895687</v>
      </c>
      <c r="E1561" s="12">
        <v>2.3813103231345701E-3</v>
      </c>
      <c r="F1561" s="8" t="s">
        <v>4954</v>
      </c>
      <c r="G1561" s="12" t="s">
        <v>4955</v>
      </c>
      <c r="H1561" s="12">
        <v>1</v>
      </c>
      <c r="I1561" s="13" t="str">
        <f>HYPERLINK("http://www.ncbi.nlm.nih.gov/gene/4335", "4335")</f>
        <v>4335</v>
      </c>
      <c r="J1561" s="13" t="str">
        <f>HYPERLINK("http://www.ncbi.nlm.nih.gov/nuccore/NM_020310", "NM_020310")</f>
        <v>NM_020310</v>
      </c>
      <c r="K1561" s="12" t="s">
        <v>4956</v>
      </c>
      <c r="L1561" s="13" t="str">
        <f>HYPERLINK("http://asia.ensembl.org/Homo_sapiens/Gene/Summary?g=ENSG00000070444", "ENSG00000070444")</f>
        <v>ENSG00000070444</v>
      </c>
      <c r="M1561" s="12" t="s">
        <v>17769</v>
      </c>
      <c r="N1561" s="12" t="s">
        <v>17770</v>
      </c>
    </row>
    <row r="1562" spans="1:14">
      <c r="A1562" s="12" t="s">
        <v>6014</v>
      </c>
      <c r="B1562" s="8">
        <v>2893.4272706178799</v>
      </c>
      <c r="C1562" s="12">
        <v>5987.1006770666099</v>
      </c>
      <c r="D1562" s="8">
        <v>-1.0490781494336101</v>
      </c>
      <c r="E1562" s="12">
        <v>2.7282123607309302E-3</v>
      </c>
      <c r="F1562" s="8" t="s">
        <v>6015</v>
      </c>
      <c r="G1562" s="12" t="s">
        <v>6016</v>
      </c>
      <c r="H1562" s="12">
        <v>1</v>
      </c>
      <c r="I1562" s="13" t="str">
        <f>HYPERLINK("http://www.ncbi.nlm.nih.gov/gene/4921", "4921")</f>
        <v>4921</v>
      </c>
      <c r="J1562" s="12" t="s">
        <v>18031</v>
      </c>
      <c r="K1562" s="12" t="s">
        <v>18032</v>
      </c>
      <c r="L1562" s="13" t="str">
        <f>HYPERLINK("http://asia.ensembl.org/Homo_sapiens/Gene/Summary?g=ENSG00000162733", "ENSG00000162733")</f>
        <v>ENSG00000162733</v>
      </c>
      <c r="M1562" s="12" t="s">
        <v>18033</v>
      </c>
      <c r="N1562" s="12" t="s">
        <v>18034</v>
      </c>
    </row>
    <row r="1563" spans="1:14">
      <c r="A1563" s="12" t="s">
        <v>6740</v>
      </c>
      <c r="B1563" s="8">
        <v>1008.3098454152</v>
      </c>
      <c r="C1563" s="12">
        <v>2086.0671433910202</v>
      </c>
      <c r="D1563" s="8">
        <v>-1.04884655862051</v>
      </c>
      <c r="E1563" s="12">
        <v>9.3639625319098599E-3</v>
      </c>
      <c r="F1563" s="8" t="s">
        <v>6741</v>
      </c>
      <c r="G1563" s="12" t="s">
        <v>18248</v>
      </c>
      <c r="H1563" s="12">
        <v>1</v>
      </c>
      <c r="I1563" s="13" t="str">
        <f>HYPERLINK("http://www.ncbi.nlm.nih.gov/gene/1176", "1176")</f>
        <v>1176</v>
      </c>
      <c r="J1563" s="13" t="str">
        <f>HYPERLINK("http://www.ncbi.nlm.nih.gov/nuccore/NM_001284", "NM_001284")</f>
        <v>NM_001284</v>
      </c>
      <c r="K1563" s="12" t="s">
        <v>6742</v>
      </c>
      <c r="L1563" s="13" t="str">
        <f>HYPERLINK("http://asia.ensembl.org/Homo_sapiens/Gene/Summary?g=ENSG00000177879", "ENSG00000177879")</f>
        <v>ENSG00000177879</v>
      </c>
      <c r="M1563" s="12" t="s">
        <v>18249</v>
      </c>
      <c r="N1563" s="12" t="s">
        <v>18250</v>
      </c>
    </row>
    <row r="1564" spans="1:14">
      <c r="A1564" s="12" t="s">
        <v>3468</v>
      </c>
      <c r="B1564" s="8">
        <v>1661.1594005874999</v>
      </c>
      <c r="C1564" s="12">
        <v>3436.6590481821399</v>
      </c>
      <c r="D1564" s="8">
        <v>-1.04881621141628</v>
      </c>
      <c r="E1564" s="12">
        <v>1.2359982803319099E-3</v>
      </c>
      <c r="F1564" s="8" t="s">
        <v>3469</v>
      </c>
      <c r="G1564" s="12" t="s">
        <v>3470</v>
      </c>
      <c r="H1564" s="12">
        <v>1</v>
      </c>
      <c r="I1564" s="13" t="str">
        <f>HYPERLINK("http://www.ncbi.nlm.nih.gov/gene/147645", "147645")</f>
        <v>147645</v>
      </c>
      <c r="J1564" s="13" t="str">
        <f>HYPERLINK("http://www.ncbi.nlm.nih.gov/nuccore/NM_001163922", "NM_001163922")</f>
        <v>NM_001163922</v>
      </c>
      <c r="K1564" s="12" t="s">
        <v>3471</v>
      </c>
      <c r="L1564" s="13" t="str">
        <f>HYPERLINK("http://asia.ensembl.org/Homo_sapiens/Gene/Summary?g=ENSG00000186806", "ENSG00000186806")</f>
        <v>ENSG00000186806</v>
      </c>
      <c r="M1564" s="12" t="s">
        <v>17314</v>
      </c>
      <c r="N1564" s="12" t="s">
        <v>17315</v>
      </c>
    </row>
    <row r="1565" spans="1:14">
      <c r="A1565" s="12" t="s">
        <v>7951</v>
      </c>
      <c r="B1565" s="8">
        <v>1720.7631004636701</v>
      </c>
      <c r="C1565" s="12">
        <v>3559.9688671160402</v>
      </c>
      <c r="D1565" s="8">
        <v>-1.0488161310127799</v>
      </c>
      <c r="E1565" s="12">
        <v>1.8224509323260099E-2</v>
      </c>
      <c r="F1565" s="8" t="s">
        <v>4156</v>
      </c>
      <c r="G1565" s="12" t="s">
        <v>4157</v>
      </c>
      <c r="H1565" s="12">
        <v>1</v>
      </c>
      <c r="I1565" s="13" t="str">
        <f>HYPERLINK("http://www.ncbi.nlm.nih.gov/gene/26589", "26589")</f>
        <v>26589</v>
      </c>
      <c r="J1565" s="13" t="str">
        <f>HYPERLINK("http://www.ncbi.nlm.nih.gov/nuccore/NM_022163", "NM_022163")</f>
        <v>NM_022163</v>
      </c>
      <c r="K1565" s="12" t="s">
        <v>4158</v>
      </c>
      <c r="L1565" s="13" t="str">
        <f>HYPERLINK("http://asia.ensembl.org/Homo_sapiens/Gene/Summary?g=ENSG00000259494", "ENSG00000259494")</f>
        <v>ENSG00000259494</v>
      </c>
      <c r="M1565" s="12" t="s">
        <v>18683</v>
      </c>
      <c r="N1565" s="12" t="s">
        <v>18684</v>
      </c>
    </row>
    <row r="1566" spans="1:14">
      <c r="A1566" s="12" t="s">
        <v>6249</v>
      </c>
      <c r="B1566" s="8">
        <v>11477.0602349951</v>
      </c>
      <c r="C1566" s="12">
        <v>23741.8945623246</v>
      </c>
      <c r="D1566" s="8">
        <v>-1.04868191060121</v>
      </c>
      <c r="E1566" s="12">
        <v>1.9518765437138599E-3</v>
      </c>
      <c r="F1566" s="8" t="s">
        <v>6250</v>
      </c>
      <c r="G1566" s="12" t="s">
        <v>6251</v>
      </c>
      <c r="H1566" s="12">
        <v>1</v>
      </c>
      <c r="I1566" s="13" t="str">
        <f>HYPERLINK("http://www.ncbi.nlm.nih.gov/gene/2872", "2872")</f>
        <v>2872</v>
      </c>
      <c r="J1566" s="12" t="s">
        <v>18095</v>
      </c>
      <c r="K1566" s="12" t="s">
        <v>18096</v>
      </c>
      <c r="L1566" s="13" t="str">
        <f>HYPERLINK("http://asia.ensembl.org/Homo_sapiens/Gene/Summary?g=ENSG00000099875", "ENSG00000099875")</f>
        <v>ENSG00000099875</v>
      </c>
      <c r="M1566" s="12" t="s">
        <v>18097</v>
      </c>
      <c r="N1566" s="12" t="s">
        <v>18098</v>
      </c>
    </row>
    <row r="1567" spans="1:14">
      <c r="A1567" s="12" t="s">
        <v>8925</v>
      </c>
      <c r="B1567" s="8">
        <v>2646.4154676953099</v>
      </c>
      <c r="C1567" s="12">
        <v>5474.3611499094204</v>
      </c>
      <c r="D1567" s="8">
        <v>-1.04865104222553</v>
      </c>
      <c r="E1567" s="12">
        <v>5.6550655288671801E-5</v>
      </c>
      <c r="F1567" s="8" t="s">
        <v>152</v>
      </c>
      <c r="G1567" s="12" t="s">
        <v>19016</v>
      </c>
      <c r="H1567" s="12">
        <v>1</v>
      </c>
      <c r="I1567" s="13" t="str">
        <f>HYPERLINK("http://www.ncbi.nlm.nih.gov/gene/7555", "7555")</f>
        <v>7555</v>
      </c>
      <c r="J1567" s="12" t="s">
        <v>19017</v>
      </c>
      <c r="K1567" s="12" t="s">
        <v>19018</v>
      </c>
      <c r="L1567" s="13" t="str">
        <f>HYPERLINK("http://asia.ensembl.org/Homo_sapiens/Gene/Summary?g=ENSG00000169714", "ENSG00000169714")</f>
        <v>ENSG00000169714</v>
      </c>
      <c r="M1567" s="12" t="s">
        <v>19019</v>
      </c>
      <c r="N1567" s="12" t="s">
        <v>19020</v>
      </c>
    </row>
    <row r="1568" spans="1:14">
      <c r="A1568" s="12" t="s">
        <v>489</v>
      </c>
      <c r="B1568" s="8">
        <v>9785.6044671857308</v>
      </c>
      <c r="C1568" s="12">
        <v>20241.631414191001</v>
      </c>
      <c r="D1568" s="8">
        <v>-1.0485926960465299</v>
      </c>
      <c r="E1568" s="12">
        <v>3.6778929087236899E-3</v>
      </c>
      <c r="F1568" s="8" t="s">
        <v>490</v>
      </c>
      <c r="G1568" s="12" t="s">
        <v>491</v>
      </c>
      <c r="H1568" s="12">
        <v>1</v>
      </c>
      <c r="I1568" s="13" t="str">
        <f>HYPERLINK("http://www.ncbi.nlm.nih.gov/gene/55168", "55168")</f>
        <v>55168</v>
      </c>
      <c r="J1568" s="12" t="s">
        <v>16345</v>
      </c>
      <c r="K1568" s="12" t="s">
        <v>16346</v>
      </c>
      <c r="L1568" s="13" t="str">
        <f>HYPERLINK("http://asia.ensembl.org/Homo_sapiens/Gene/Summary?g=ENSG00000096080", "ENSG00000096080")</f>
        <v>ENSG00000096080</v>
      </c>
      <c r="M1568" s="12" t="s">
        <v>16347</v>
      </c>
      <c r="N1568" s="12" t="s">
        <v>16348</v>
      </c>
    </row>
    <row r="1569" spans="1:14">
      <c r="A1569" s="12" t="s">
        <v>1425</v>
      </c>
      <c r="B1569" s="8">
        <v>84.8231747542075</v>
      </c>
      <c r="C1569" s="12">
        <v>175.45611875568699</v>
      </c>
      <c r="D1569" s="8">
        <v>-1.04857987421514</v>
      </c>
      <c r="E1569" s="12">
        <v>2.24089287955469E-4</v>
      </c>
      <c r="F1569" s="8" t="s">
        <v>1426</v>
      </c>
      <c r="G1569" s="12" t="s">
        <v>1427</v>
      </c>
      <c r="H1569" s="12">
        <v>1</v>
      </c>
      <c r="I1569" s="13" t="str">
        <f>HYPERLINK("http://www.ncbi.nlm.nih.gov/gene/25876", "25876")</f>
        <v>25876</v>
      </c>
      <c r="J1569" s="13" t="str">
        <f>HYPERLINK("http://www.ncbi.nlm.nih.gov/nuccore/NM_015417", "NM_015417")</f>
        <v>NM_015417</v>
      </c>
      <c r="K1569" s="12" t="s">
        <v>1428</v>
      </c>
      <c r="L1569" s="13" t="str">
        <f>HYPERLINK("http://asia.ensembl.org/Homo_sapiens/Gene/Summary?g=ENSG00000101222", "ENSG00000101222")</f>
        <v>ENSG00000101222</v>
      </c>
      <c r="M1569" s="12" t="s">
        <v>16623</v>
      </c>
      <c r="N1569" s="12" t="s">
        <v>1429</v>
      </c>
    </row>
    <row r="1570" spans="1:14">
      <c r="A1570" s="12" t="s">
        <v>9248</v>
      </c>
      <c r="B1570" s="8">
        <v>129698.30401374301</v>
      </c>
      <c r="C1570" s="12">
        <v>268184.62520307698</v>
      </c>
      <c r="D1570" s="8">
        <v>-1.0480669166682901</v>
      </c>
      <c r="E1570" s="12">
        <v>8.2040863688910004E-3</v>
      </c>
      <c r="F1570" s="8" t="s">
        <v>9249</v>
      </c>
      <c r="G1570" s="12" t="s">
        <v>19110</v>
      </c>
      <c r="H1570" s="12">
        <v>1</v>
      </c>
      <c r="I1570" s="13" t="str">
        <f>HYPERLINK("http://www.ncbi.nlm.nih.gov/gene/219983", "219983")</f>
        <v>219983</v>
      </c>
      <c r="J1570" s="13" t="str">
        <f>HYPERLINK("http://www.ncbi.nlm.nih.gov/nuccore/NM_001004708", "NM_001004708")</f>
        <v>NM_001004708</v>
      </c>
      <c r="K1570" s="12" t="s">
        <v>9250</v>
      </c>
      <c r="L1570" s="13" t="str">
        <f>HYPERLINK("http://asia.ensembl.org/Homo_sapiens/Gene/Summary?g=ENSG00000166884", "ENSG00000166884")</f>
        <v>ENSG00000166884</v>
      </c>
      <c r="M1570" s="12" t="s">
        <v>9251</v>
      </c>
      <c r="N1570" s="12" t="s">
        <v>9252</v>
      </c>
    </row>
    <row r="1571" spans="1:14">
      <c r="A1571" s="12" t="s">
        <v>5555</v>
      </c>
      <c r="B1571" s="8">
        <v>24587.9200328882</v>
      </c>
      <c r="C1571" s="12">
        <v>50838.697770279898</v>
      </c>
      <c r="D1571" s="8">
        <v>-1.0479773781585799</v>
      </c>
      <c r="E1571" s="12">
        <v>1.0809950118439099E-2</v>
      </c>
      <c r="F1571" s="8" t="s">
        <v>5556</v>
      </c>
      <c r="G1571" s="12" t="s">
        <v>5557</v>
      </c>
      <c r="H1571" s="12">
        <v>1</v>
      </c>
      <c r="I1571" s="13" t="str">
        <f>HYPERLINK("http://www.ncbi.nlm.nih.gov/gene/3396", "3396")</f>
        <v>3396</v>
      </c>
      <c r="J1571" s="13" t="str">
        <f>HYPERLINK("http://www.ncbi.nlm.nih.gov/nuccore/NM_001545", "NM_001545")</f>
        <v>NM_001545</v>
      </c>
      <c r="K1571" s="12" t="s">
        <v>5558</v>
      </c>
      <c r="L1571" s="13" t="str">
        <f>HYPERLINK("http://asia.ensembl.org/Homo_sapiens/Gene/Summary?g=ENSG00000167862", "ENSG00000167862")</f>
        <v>ENSG00000167862</v>
      </c>
      <c r="M1571" s="12" t="s">
        <v>17901</v>
      </c>
      <c r="N1571" s="12" t="s">
        <v>17902</v>
      </c>
    </row>
    <row r="1572" spans="1:14">
      <c r="A1572" s="12" t="s">
        <v>8396</v>
      </c>
      <c r="B1572" s="8">
        <v>154782.369125956</v>
      </c>
      <c r="C1572" s="12">
        <v>320017.36796312098</v>
      </c>
      <c r="D1572" s="8">
        <v>-1.0479090580516199</v>
      </c>
      <c r="E1572" s="12">
        <v>1.0533650422991E-2</v>
      </c>
      <c r="F1572" s="8" t="s">
        <v>6907</v>
      </c>
      <c r="G1572" s="12" t="s">
        <v>18297</v>
      </c>
      <c r="H1572" s="12">
        <v>1</v>
      </c>
      <c r="I1572" s="13" t="str">
        <f>HYPERLINK("http://www.ncbi.nlm.nih.gov/gene/4637", "4637")</f>
        <v>4637</v>
      </c>
      <c r="J1572" s="12" t="s">
        <v>18811</v>
      </c>
      <c r="K1572" s="12" t="s">
        <v>18812</v>
      </c>
      <c r="L1572" s="13" t="str">
        <f>HYPERLINK("http://asia.ensembl.org/Homo_sapiens/Gene/Summary?g=ENSG00000092841", "ENSG00000092841")</f>
        <v>ENSG00000092841</v>
      </c>
      <c r="M1572" s="12" t="s">
        <v>18298</v>
      </c>
      <c r="N1572" s="12" t="s">
        <v>18299</v>
      </c>
    </row>
    <row r="1573" spans="1:14">
      <c r="A1573" s="12" t="s">
        <v>5922</v>
      </c>
      <c r="B1573" s="8">
        <v>7909.8968973638403</v>
      </c>
      <c r="C1573" s="12">
        <v>16352.423059938499</v>
      </c>
      <c r="D1573" s="8">
        <v>-1.04777363147233</v>
      </c>
      <c r="E1573" s="12">
        <v>1.9055250125870001E-2</v>
      </c>
      <c r="F1573" s="8" t="s">
        <v>3755</v>
      </c>
      <c r="G1573" s="12" t="s">
        <v>18010</v>
      </c>
      <c r="H1573" s="12">
        <v>1</v>
      </c>
      <c r="I1573" s="13" t="str">
        <f>HYPERLINK("http://www.ncbi.nlm.nih.gov/gene/11264", "11264")</f>
        <v>11264</v>
      </c>
      <c r="J1573" s="12" t="s">
        <v>18011</v>
      </c>
      <c r="K1573" s="12" t="s">
        <v>18012</v>
      </c>
      <c r="L1573" s="13" t="str">
        <f>HYPERLINK("http://asia.ensembl.org/Homo_sapiens/Gene/Summary?g=ENSG00000101417", "ENSG00000101417")</f>
        <v>ENSG00000101417</v>
      </c>
      <c r="M1573" s="12" t="s">
        <v>18013</v>
      </c>
      <c r="N1573" s="12" t="s">
        <v>18014</v>
      </c>
    </row>
    <row r="1574" spans="1:14">
      <c r="A1574" s="12" t="s">
        <v>1000</v>
      </c>
      <c r="B1574" s="8">
        <v>2701.7818377250801</v>
      </c>
      <c r="C1574" s="12">
        <v>5585.3801917110404</v>
      </c>
      <c r="D1574" s="8">
        <v>-1.0477443017094501</v>
      </c>
      <c r="E1574" s="12">
        <v>6.0931420554509097E-3</v>
      </c>
      <c r="F1574" s="8" t="s">
        <v>1001</v>
      </c>
      <c r="G1574" s="12" t="s">
        <v>1002</v>
      </c>
      <c r="H1574" s="12">
        <v>1</v>
      </c>
      <c r="I1574" s="13" t="str">
        <f>HYPERLINK("http://www.ncbi.nlm.nih.gov/gene/112849", "112849")</f>
        <v>112849</v>
      </c>
      <c r="J1574" s="13" t="str">
        <f>HYPERLINK("http://www.ncbi.nlm.nih.gov/nuccore/NM_144581", "NM_144581")</f>
        <v>NM_144581</v>
      </c>
      <c r="K1574" s="12" t="s">
        <v>1003</v>
      </c>
      <c r="L1574" s="13" t="str">
        <f>HYPERLINK("http://asia.ensembl.org/Homo_sapiens/Gene/Summary?g=ENSG00000126790", "ENSG00000126790")</f>
        <v>ENSG00000126790</v>
      </c>
      <c r="M1574" s="12" t="s">
        <v>16481</v>
      </c>
      <c r="N1574" s="12" t="s">
        <v>16482</v>
      </c>
    </row>
    <row r="1575" spans="1:14">
      <c r="A1575" s="12" t="s">
        <v>4197</v>
      </c>
      <c r="B1575" s="8">
        <v>12117.2532862028</v>
      </c>
      <c r="C1575" s="12">
        <v>25049.440595300301</v>
      </c>
      <c r="D1575" s="8">
        <v>-1.04771567672446</v>
      </c>
      <c r="E1575" s="12">
        <v>2.2965321144012602E-3</v>
      </c>
      <c r="F1575" s="8" t="s">
        <v>4198</v>
      </c>
      <c r="G1575" s="12" t="s">
        <v>4199</v>
      </c>
      <c r="H1575" s="12">
        <v>1</v>
      </c>
      <c r="I1575" s="13" t="str">
        <f>HYPERLINK("http://www.ncbi.nlm.nih.gov/gene/10670", "10670")</f>
        <v>10670</v>
      </c>
      <c r="J1575" s="13" t="str">
        <f>HYPERLINK("http://www.ncbi.nlm.nih.gov/nuccore/NM_006570", "NM_006570")</f>
        <v>NM_006570</v>
      </c>
      <c r="K1575" s="12" t="s">
        <v>4200</v>
      </c>
      <c r="L1575" s="13" t="str">
        <f>HYPERLINK("http://asia.ensembl.org/Homo_sapiens/Gene/Summary?g=ENSG00000155876", "ENSG00000155876")</f>
        <v>ENSG00000155876</v>
      </c>
      <c r="M1575" s="12" t="s">
        <v>4201</v>
      </c>
      <c r="N1575" s="12" t="s">
        <v>4202</v>
      </c>
    </row>
    <row r="1576" spans="1:14">
      <c r="A1576" s="12" t="s">
        <v>11662</v>
      </c>
      <c r="B1576" s="8">
        <v>1764.89264056356</v>
      </c>
      <c r="C1576" s="12">
        <v>3648.18853472707</v>
      </c>
      <c r="D1576" s="8">
        <v>-1.0475998622681799</v>
      </c>
      <c r="E1576" s="12">
        <v>2.67512358514281E-2</v>
      </c>
      <c r="F1576" s="8" t="s">
        <v>11663</v>
      </c>
      <c r="G1576" s="12" t="s">
        <v>11664</v>
      </c>
      <c r="H1576" s="12">
        <v>1</v>
      </c>
      <c r="I1576" s="13" t="str">
        <f>HYPERLINK("http://www.ncbi.nlm.nih.gov/gene/101929087", "101929087")</f>
        <v>101929087</v>
      </c>
      <c r="J1576" s="12" t="s">
        <v>20178</v>
      </c>
      <c r="K1576" s="12" t="s">
        <v>20179</v>
      </c>
      <c r="L1576" s="12" t="s">
        <v>38</v>
      </c>
      <c r="M1576" s="12" t="s">
        <v>38</v>
      </c>
      <c r="N1576" s="12" t="s">
        <v>38</v>
      </c>
    </row>
    <row r="1577" spans="1:14">
      <c r="A1577" s="12" t="s">
        <v>2009</v>
      </c>
      <c r="B1577" s="8">
        <v>2437.2492847926201</v>
      </c>
      <c r="C1577" s="12">
        <v>5037.6554146365597</v>
      </c>
      <c r="D1577" s="8">
        <v>-1.0474986231242001</v>
      </c>
      <c r="E1577" s="12">
        <v>2.3795123527391802E-2</v>
      </c>
      <c r="F1577" s="8" t="s">
        <v>2010</v>
      </c>
      <c r="G1577" s="12" t="s">
        <v>16874</v>
      </c>
      <c r="H1577" s="12">
        <v>1</v>
      </c>
      <c r="I1577" s="13" t="str">
        <f>HYPERLINK("http://www.ncbi.nlm.nih.gov/gene/1028", "1028")</f>
        <v>1028</v>
      </c>
      <c r="J1577" s="12" t="s">
        <v>16875</v>
      </c>
      <c r="K1577" s="12" t="s">
        <v>16876</v>
      </c>
      <c r="L1577" s="13" t="str">
        <f>HYPERLINK("http://asia.ensembl.org/Homo_sapiens/Gene/Summary?g=ENSG00000273707", "ENSG00000273707")</f>
        <v>ENSG00000273707</v>
      </c>
      <c r="M1577" s="12" t="s">
        <v>16877</v>
      </c>
      <c r="N1577" s="12" t="s">
        <v>16878</v>
      </c>
    </row>
    <row r="1578" spans="1:14">
      <c r="A1578" s="12" t="s">
        <v>11539</v>
      </c>
      <c r="B1578" s="8">
        <v>5127.1325382798004</v>
      </c>
      <c r="C1578" s="12">
        <v>10595.8856940117</v>
      </c>
      <c r="D1578" s="8">
        <v>-1.0472800879080499</v>
      </c>
      <c r="E1578" s="12">
        <v>3.9749712829591603E-3</v>
      </c>
      <c r="F1578" s="8" t="s">
        <v>11540</v>
      </c>
      <c r="G1578" s="12" t="s">
        <v>11541</v>
      </c>
      <c r="H1578" s="12">
        <v>1</v>
      </c>
      <c r="I1578" s="13" t="str">
        <f>HYPERLINK("http://www.ncbi.nlm.nih.gov/gene/91368", "91368")</f>
        <v>91368</v>
      </c>
      <c r="J1578" s="13" t="str">
        <f>HYPERLINK("http://www.ncbi.nlm.nih.gov/nuccore/NM_080656", "NM_080656")</f>
        <v>NM_080656</v>
      </c>
      <c r="K1578" s="12" t="s">
        <v>11542</v>
      </c>
      <c r="L1578" s="13" t="str">
        <f>HYPERLINK("http://asia.ensembl.org/Homo_sapiens/Gene/Summary?g=ENSG00000237190", "ENSG00000237190")</f>
        <v>ENSG00000237190</v>
      </c>
      <c r="M1578" s="12" t="s">
        <v>20136</v>
      </c>
      <c r="N1578" s="12" t="s">
        <v>20137</v>
      </c>
    </row>
    <row r="1579" spans="1:14">
      <c r="A1579" s="12" t="s">
        <v>6895</v>
      </c>
      <c r="B1579" s="8">
        <v>578.35302440476403</v>
      </c>
      <c r="C1579" s="12">
        <v>1194.7698524176899</v>
      </c>
      <c r="D1579" s="8">
        <v>-1.0467104576791599</v>
      </c>
      <c r="E1579" s="12">
        <v>1.34569071838808E-2</v>
      </c>
      <c r="F1579" s="8" t="s">
        <v>6896</v>
      </c>
      <c r="G1579" s="12" t="s">
        <v>6897</v>
      </c>
      <c r="H1579" s="12">
        <v>1</v>
      </c>
      <c r="I1579" s="13" t="str">
        <f>HYPERLINK("http://www.ncbi.nlm.nih.gov/gene/23464", "23464")</f>
        <v>23464</v>
      </c>
      <c r="J1579" s="13" t="str">
        <f>HYPERLINK("http://www.ncbi.nlm.nih.gov/nuccore/NM_014291", "NM_014291")</f>
        <v>NM_014291</v>
      </c>
      <c r="K1579" s="12" t="s">
        <v>6898</v>
      </c>
      <c r="L1579" s="13" t="str">
        <f>HYPERLINK("http://asia.ensembl.org/Homo_sapiens/Gene/Summary?g=ENSG00000100116", "ENSG00000100116")</f>
        <v>ENSG00000100116</v>
      </c>
      <c r="M1579" s="12" t="s">
        <v>18289</v>
      </c>
      <c r="N1579" s="12" t="s">
        <v>18290</v>
      </c>
    </row>
    <row r="1580" spans="1:14">
      <c r="A1580" s="12" t="s">
        <v>6959</v>
      </c>
      <c r="B1580" s="8">
        <v>42327.368275607703</v>
      </c>
      <c r="C1580" s="12">
        <v>87430.209763082996</v>
      </c>
      <c r="D1580" s="8">
        <v>-1.04654106914046</v>
      </c>
      <c r="E1580" s="12">
        <v>1.7922229268551301E-2</v>
      </c>
      <c r="F1580" s="8" t="s">
        <v>6960</v>
      </c>
      <c r="G1580" s="12" t="s">
        <v>6961</v>
      </c>
      <c r="H1580" s="12">
        <v>1</v>
      </c>
      <c r="I1580" s="13" t="str">
        <f>HYPERLINK("http://www.ncbi.nlm.nih.gov/gene/54543", "54543")</f>
        <v>54543</v>
      </c>
      <c r="J1580" s="13" t="str">
        <f>HYPERLINK("http://www.ncbi.nlm.nih.gov/nuccore/NM_019059", "NM_019059")</f>
        <v>NM_019059</v>
      </c>
      <c r="K1580" s="12" t="s">
        <v>6962</v>
      </c>
      <c r="L1580" s="13" t="str">
        <f>HYPERLINK("http://asia.ensembl.org/Homo_sapiens/Gene/Summary?g=ENSG00000196683", "ENSG00000196683")</f>
        <v>ENSG00000196683</v>
      </c>
      <c r="M1580" s="12" t="s">
        <v>18319</v>
      </c>
      <c r="N1580" s="12" t="s">
        <v>18320</v>
      </c>
    </row>
    <row r="1581" spans="1:14">
      <c r="A1581" s="12" t="s">
        <v>471</v>
      </c>
      <c r="B1581" s="8">
        <v>5042.7997412547502</v>
      </c>
      <c r="C1581" s="12">
        <v>10412.552297418</v>
      </c>
      <c r="D1581" s="8">
        <v>-1.04602690209407</v>
      </c>
      <c r="E1581" s="12">
        <v>7.9623314251521405E-3</v>
      </c>
      <c r="F1581" s="8" t="s">
        <v>472</v>
      </c>
      <c r="G1581" s="12" t="s">
        <v>473</v>
      </c>
      <c r="H1581" s="12">
        <v>1</v>
      </c>
      <c r="I1581" s="13" t="str">
        <f>HYPERLINK("http://www.ncbi.nlm.nih.gov/gene/10422", "10422")</f>
        <v>10422</v>
      </c>
      <c r="J1581" s="13" t="str">
        <f>HYPERLINK("http://www.ncbi.nlm.nih.gov/nuccore/NM_016172", "NM_016172")</f>
        <v>NM_016172</v>
      </c>
      <c r="K1581" s="12" t="s">
        <v>474</v>
      </c>
      <c r="L1581" s="13" t="str">
        <f>HYPERLINK("http://asia.ensembl.org/Homo_sapiens/Gene/Summary?g=ENSG00000130560", "ENSG00000130560")</f>
        <v>ENSG00000130560</v>
      </c>
      <c r="M1581" s="12" t="s">
        <v>16336</v>
      </c>
      <c r="N1581" s="12" t="s">
        <v>475</v>
      </c>
    </row>
    <row r="1582" spans="1:14">
      <c r="A1582" s="12" t="s">
        <v>9443</v>
      </c>
      <c r="B1582" s="8">
        <v>283.70176140114398</v>
      </c>
      <c r="C1582" s="12">
        <v>585.77345513501098</v>
      </c>
      <c r="D1582" s="8">
        <v>-1.04596770983133</v>
      </c>
      <c r="E1582" s="12">
        <v>1.43268585166766E-3</v>
      </c>
      <c r="F1582" s="8" t="s">
        <v>9444</v>
      </c>
      <c r="G1582" s="12" t="s">
        <v>9445</v>
      </c>
      <c r="H1582" s="12">
        <v>1</v>
      </c>
      <c r="I1582" s="13" t="str">
        <f>HYPERLINK("http://www.ncbi.nlm.nih.gov/gene/646450", "646450")</f>
        <v>646450</v>
      </c>
      <c r="J1582" s="13" t="str">
        <f>HYPERLINK("http://www.ncbi.nlm.nih.gov/nuccore/NM_001123040", "NM_001123040")</f>
        <v>NM_001123040</v>
      </c>
      <c r="K1582" s="12" t="s">
        <v>9446</v>
      </c>
      <c r="L1582" s="13" t="str">
        <f>HYPERLINK("http://asia.ensembl.org/Homo_sapiens/Gene/Summary?g=ENSG00000221883", "ENSG00000221883")</f>
        <v>ENSG00000221883</v>
      </c>
      <c r="M1582" s="12" t="s">
        <v>9447</v>
      </c>
      <c r="N1582" s="12" t="s">
        <v>9448</v>
      </c>
    </row>
    <row r="1583" spans="1:14">
      <c r="A1583" s="12" t="s">
        <v>9075</v>
      </c>
      <c r="B1583" s="8">
        <v>54822.790146936401</v>
      </c>
      <c r="C1583" s="12">
        <v>113192.44826915499</v>
      </c>
      <c r="D1583" s="8">
        <v>-1.0459300511916101</v>
      </c>
      <c r="E1583" s="12">
        <v>1.0166672901258399E-2</v>
      </c>
      <c r="F1583" s="8" t="s">
        <v>7124</v>
      </c>
      <c r="G1583" s="12" t="s">
        <v>7125</v>
      </c>
      <c r="H1583" s="12">
        <v>1</v>
      </c>
      <c r="I1583" s="13" t="str">
        <f>HYPERLINK("http://www.ncbi.nlm.nih.gov/gene/1345", "1345")</f>
        <v>1345</v>
      </c>
      <c r="J1583" s="13" t="str">
        <f>HYPERLINK("http://www.ncbi.nlm.nih.gov/nuccore/NM_004374", "NM_004374")</f>
        <v>NM_004374</v>
      </c>
      <c r="K1583" s="12" t="s">
        <v>7126</v>
      </c>
      <c r="L1583" s="13" t="str">
        <f>HYPERLINK("http://asia.ensembl.org/Homo_sapiens/Gene/Summary?g=ENSG00000164919", "ENSG00000164919")</f>
        <v>ENSG00000164919</v>
      </c>
      <c r="M1583" s="12" t="s">
        <v>18381</v>
      </c>
      <c r="N1583" s="12" t="s">
        <v>18382</v>
      </c>
    </row>
    <row r="1584" spans="1:14">
      <c r="A1584" s="12" t="s">
        <v>8082</v>
      </c>
      <c r="B1584" s="8">
        <v>72613.944659846107</v>
      </c>
      <c r="C1584" s="12">
        <v>149905.50125446601</v>
      </c>
      <c r="D1584" s="8">
        <v>-1.0457347958258001</v>
      </c>
      <c r="E1584" s="12">
        <v>1.9854053788611999E-2</v>
      </c>
      <c r="F1584" s="8" t="s">
        <v>6921</v>
      </c>
      <c r="G1584" s="12" t="s">
        <v>6922</v>
      </c>
      <c r="H1584" s="12">
        <v>1</v>
      </c>
      <c r="I1584" s="13" t="str">
        <f>HYPERLINK("http://www.ncbi.nlm.nih.gov/gene/6167", "6167")</f>
        <v>6167</v>
      </c>
      <c r="J1584" s="13" t="str">
        <f>HYPERLINK("http://www.ncbi.nlm.nih.gov/nuccore/NM_000997", "NM_000997")</f>
        <v>NM_000997</v>
      </c>
      <c r="K1584" s="12" t="s">
        <v>6923</v>
      </c>
      <c r="L1584" s="13" t="str">
        <f>HYPERLINK("http://asia.ensembl.org/Homo_sapiens/Gene/Summary?g=ENSG00000145592", "ENSG00000145592")</f>
        <v>ENSG00000145592</v>
      </c>
      <c r="M1584" s="12" t="s">
        <v>18306</v>
      </c>
      <c r="N1584" s="12" t="s">
        <v>18307</v>
      </c>
    </row>
    <row r="1585" spans="1:14">
      <c r="A1585" s="12" t="s">
        <v>3871</v>
      </c>
      <c r="B1585" s="8">
        <v>3004.2853080775399</v>
      </c>
      <c r="C1585" s="12">
        <v>6201.8814449970296</v>
      </c>
      <c r="D1585" s="8">
        <v>-1.0456841198603199</v>
      </c>
      <c r="E1585" s="12">
        <v>1.74540210748608E-3</v>
      </c>
      <c r="F1585" s="8" t="s">
        <v>3872</v>
      </c>
      <c r="G1585" s="12" t="s">
        <v>3873</v>
      </c>
      <c r="H1585" s="12">
        <v>1</v>
      </c>
      <c r="I1585" s="13" t="str">
        <f>HYPERLINK("http://www.ncbi.nlm.nih.gov/gene/9128", "9128")</f>
        <v>9128</v>
      </c>
      <c r="J1585" s="12" t="s">
        <v>17454</v>
      </c>
      <c r="K1585" s="12" t="s">
        <v>17455</v>
      </c>
      <c r="L1585" s="13" t="str">
        <f>HYPERLINK("http://asia.ensembl.org/Homo_sapiens/Gene/Summary?g=ENSG00000136875", "ENSG00000136875")</f>
        <v>ENSG00000136875</v>
      </c>
      <c r="M1585" s="12" t="s">
        <v>17456</v>
      </c>
      <c r="N1585" s="12" t="s">
        <v>17457</v>
      </c>
    </row>
    <row r="1586" spans="1:14">
      <c r="A1586" s="12" t="s">
        <v>2132</v>
      </c>
      <c r="B1586" s="8">
        <v>675.44545943127002</v>
      </c>
      <c r="C1586" s="12">
        <v>1393.90134336765</v>
      </c>
      <c r="D1586" s="8">
        <v>-1.04521726942824</v>
      </c>
      <c r="E1586" s="12">
        <v>2.5831421896694599E-3</v>
      </c>
      <c r="F1586" s="8" t="s">
        <v>2133</v>
      </c>
      <c r="G1586" s="12" t="s">
        <v>16940</v>
      </c>
      <c r="H1586" s="12">
        <v>1</v>
      </c>
      <c r="I1586" s="13" t="str">
        <f>HYPERLINK("http://www.ncbi.nlm.nih.gov/gene/79784", "79784")</f>
        <v>79784</v>
      </c>
      <c r="J1586" s="12" t="s">
        <v>16941</v>
      </c>
      <c r="K1586" s="12" t="s">
        <v>16942</v>
      </c>
      <c r="L1586" s="13" t="str">
        <f>HYPERLINK("http://asia.ensembl.org/Homo_sapiens/Gene/Summary?g=ENSG00000105357", "ENSG00000105357")</f>
        <v>ENSG00000105357</v>
      </c>
      <c r="M1586" s="12" t="s">
        <v>16943</v>
      </c>
      <c r="N1586" s="12" t="s">
        <v>16944</v>
      </c>
    </row>
    <row r="1587" spans="1:14">
      <c r="A1587" s="12" t="s">
        <v>8335</v>
      </c>
      <c r="B1587" s="8">
        <v>293.46485697796498</v>
      </c>
      <c r="C1587" s="12">
        <v>605.56736611259396</v>
      </c>
      <c r="D1587" s="8">
        <v>-1.0450997129397199</v>
      </c>
      <c r="E1587" s="12">
        <v>9.9781175363443404E-3</v>
      </c>
      <c r="F1587" s="8" t="s">
        <v>8050</v>
      </c>
      <c r="G1587" s="12" t="s">
        <v>18709</v>
      </c>
      <c r="H1587" s="12">
        <v>1</v>
      </c>
      <c r="I1587" s="13" t="str">
        <f>HYPERLINK("http://www.ncbi.nlm.nih.gov/gene/6092", "6092")</f>
        <v>6092</v>
      </c>
      <c r="J1587" s="12" t="s">
        <v>18769</v>
      </c>
      <c r="K1587" s="12" t="s">
        <v>18770</v>
      </c>
      <c r="L1587" s="13" t="str">
        <f>HYPERLINK("http://asia.ensembl.org/Homo_sapiens/Gene/Summary?g=ENSG00000185008", "ENSG00000185008")</f>
        <v>ENSG00000185008</v>
      </c>
      <c r="M1587" s="12" t="s">
        <v>18710</v>
      </c>
      <c r="N1587" s="12" t="s">
        <v>18711</v>
      </c>
    </row>
    <row r="1588" spans="1:14">
      <c r="A1588" s="12" t="s">
        <v>10925</v>
      </c>
      <c r="B1588" s="8">
        <v>1699.3809378636199</v>
      </c>
      <c r="C1588" s="12">
        <v>3506.3827110966999</v>
      </c>
      <c r="D1588" s="8">
        <v>-1.04497418327597</v>
      </c>
      <c r="E1588" s="12">
        <v>2.0081476002454801E-2</v>
      </c>
      <c r="F1588" s="8" t="s">
        <v>10926</v>
      </c>
      <c r="G1588" s="12" t="s">
        <v>10927</v>
      </c>
      <c r="H1588" s="12">
        <v>4</v>
      </c>
      <c r="I1588" s="12" t="s">
        <v>10928</v>
      </c>
      <c r="J1588" s="12" t="s">
        <v>10929</v>
      </c>
      <c r="K1588" s="12" t="s">
        <v>10930</v>
      </c>
      <c r="L1588" s="12" t="s">
        <v>10931</v>
      </c>
      <c r="M1588" s="12" t="s">
        <v>19908</v>
      </c>
      <c r="N1588" s="12" t="s">
        <v>19909</v>
      </c>
    </row>
    <row r="1589" spans="1:14">
      <c r="A1589" s="12" t="s">
        <v>9924</v>
      </c>
      <c r="B1589" s="8">
        <v>4419.5432605222404</v>
      </c>
      <c r="C1589" s="12">
        <v>9118.6508666692098</v>
      </c>
      <c r="D1589" s="8">
        <v>-1.0449231074491601</v>
      </c>
      <c r="E1589" s="12">
        <v>1.82765598160911E-3</v>
      </c>
      <c r="F1589" s="8" t="s">
        <v>5933</v>
      </c>
      <c r="G1589" s="12" t="s">
        <v>5934</v>
      </c>
      <c r="H1589" s="12">
        <v>1</v>
      </c>
      <c r="I1589" s="13" t="str">
        <f>HYPERLINK("http://www.ncbi.nlm.nih.gov/gene/84513", "84513")</f>
        <v>84513</v>
      </c>
      <c r="J1589" s="12" t="s">
        <v>19432</v>
      </c>
      <c r="K1589" s="12" t="s">
        <v>19433</v>
      </c>
      <c r="L1589" s="13" t="str">
        <f>HYPERLINK("http://asia.ensembl.org/Homo_sapiens/Gene/Summary?g=ENSG00000147535", "ENSG00000147535")</f>
        <v>ENSG00000147535</v>
      </c>
      <c r="M1589" s="12" t="s">
        <v>19434</v>
      </c>
      <c r="N1589" s="12" t="s">
        <v>19435</v>
      </c>
    </row>
    <row r="1590" spans="1:14">
      <c r="A1590" s="12" t="s">
        <v>2589</v>
      </c>
      <c r="B1590" s="8">
        <v>6985.7101472389504</v>
      </c>
      <c r="C1590" s="12">
        <v>14413.091153715</v>
      </c>
      <c r="D1590" s="8">
        <v>-1.0449010928672899</v>
      </c>
      <c r="E1590" s="12">
        <v>7.2902813278709804E-3</v>
      </c>
      <c r="F1590" s="8" t="s">
        <v>2590</v>
      </c>
      <c r="G1590" s="12" t="s">
        <v>17038</v>
      </c>
      <c r="H1590" s="12">
        <v>1</v>
      </c>
      <c r="I1590" s="13" t="str">
        <f>HYPERLINK("http://www.ncbi.nlm.nih.gov/gene/56616", "56616")</f>
        <v>56616</v>
      </c>
      <c r="J1590" s="13" t="str">
        <f>HYPERLINK("http://www.ncbi.nlm.nih.gov/nuccore/NM_019887", "NM_019887")</f>
        <v>NM_019887</v>
      </c>
      <c r="K1590" s="12" t="s">
        <v>2591</v>
      </c>
      <c r="L1590" s="13" t="str">
        <f>HYPERLINK("http://asia.ensembl.org/Homo_sapiens/Gene/Summary?g=ENSG00000184047", "ENSG00000184047")</f>
        <v>ENSG00000184047</v>
      </c>
      <c r="M1590" s="12" t="s">
        <v>17039</v>
      </c>
      <c r="N1590" s="12" t="s">
        <v>17040</v>
      </c>
    </row>
    <row r="1591" spans="1:14">
      <c r="A1591" s="12" t="s">
        <v>8943</v>
      </c>
      <c r="B1591" s="8">
        <v>158.44070413256199</v>
      </c>
      <c r="C1591" s="12">
        <v>326.85804145486298</v>
      </c>
      <c r="D1591" s="8">
        <v>-1.0447211732997499</v>
      </c>
      <c r="E1591" s="12">
        <v>4.7113928011337101E-4</v>
      </c>
      <c r="F1591" s="8" t="s">
        <v>2401</v>
      </c>
      <c r="G1591" s="12" t="s">
        <v>19033</v>
      </c>
      <c r="H1591" s="12">
        <v>1</v>
      </c>
      <c r="I1591" s="13" t="str">
        <f>HYPERLINK("http://www.ncbi.nlm.nih.gov/gene/3014", "3014")</f>
        <v>3014</v>
      </c>
      <c r="J1591" s="13" t="str">
        <f>HYPERLINK("http://www.ncbi.nlm.nih.gov/nuccore/NM_002105", "NM_002105")</f>
        <v>NM_002105</v>
      </c>
      <c r="K1591" s="12" t="s">
        <v>2402</v>
      </c>
      <c r="L1591" s="13" t="str">
        <f>HYPERLINK("http://asia.ensembl.org/Homo_sapiens/Gene/Summary?g=ENSG00000188486", "ENSG00000188486")</f>
        <v>ENSG00000188486</v>
      </c>
      <c r="M1591" s="12" t="s">
        <v>19034</v>
      </c>
      <c r="N1591" s="12" t="s">
        <v>19035</v>
      </c>
    </row>
    <row r="1592" spans="1:14">
      <c r="A1592" s="12" t="s">
        <v>2428</v>
      </c>
      <c r="B1592" s="8">
        <v>929.63623272978498</v>
      </c>
      <c r="C1592" s="12">
        <v>1917.57454581312</v>
      </c>
      <c r="D1592" s="8">
        <v>-1.0445444594306299</v>
      </c>
      <c r="E1592" s="12">
        <v>7.2521452733501704E-3</v>
      </c>
      <c r="F1592" s="8" t="s">
        <v>2429</v>
      </c>
      <c r="G1592" s="12" t="s">
        <v>17007</v>
      </c>
      <c r="H1592" s="12">
        <v>1</v>
      </c>
      <c r="I1592" s="13" t="str">
        <f>HYPERLINK("http://www.ncbi.nlm.nih.gov/gene/1592", "1592")</f>
        <v>1592</v>
      </c>
      <c r="J1592" s="12" t="s">
        <v>17008</v>
      </c>
      <c r="K1592" s="12" t="s">
        <v>17009</v>
      </c>
      <c r="L1592" s="13" t="str">
        <f>HYPERLINK("http://asia.ensembl.org/Homo_sapiens/Gene/Summary?g=ENSG00000095596", "ENSG00000095596")</f>
        <v>ENSG00000095596</v>
      </c>
      <c r="M1592" s="12" t="s">
        <v>17010</v>
      </c>
      <c r="N1592" s="12" t="s">
        <v>17011</v>
      </c>
    </row>
    <row r="1593" spans="1:14">
      <c r="A1593" s="12" t="s">
        <v>4138</v>
      </c>
      <c r="B1593" s="8">
        <v>23584.585974423699</v>
      </c>
      <c r="C1593" s="12">
        <v>48640.945589858202</v>
      </c>
      <c r="D1593" s="8">
        <v>-1.0443270006482901</v>
      </c>
      <c r="E1593" s="12">
        <v>5.5965109432992597E-3</v>
      </c>
      <c r="F1593" s="8" t="s">
        <v>4139</v>
      </c>
      <c r="G1593" s="12" t="s">
        <v>4140</v>
      </c>
      <c r="H1593" s="12">
        <v>1</v>
      </c>
      <c r="I1593" s="13" t="str">
        <f>HYPERLINK("http://www.ncbi.nlm.nih.gov/gene/54985", "54985")</f>
        <v>54985</v>
      </c>
      <c r="J1593" s="12" t="s">
        <v>17577</v>
      </c>
      <c r="K1593" s="12" t="s">
        <v>17578</v>
      </c>
      <c r="L1593" s="13" t="str">
        <f>HYPERLINK("http://asia.ensembl.org/Homo_sapiens/Gene/Summary?g=ENSG00000103145", "ENSG00000103145")</f>
        <v>ENSG00000103145</v>
      </c>
      <c r="M1593" s="12" t="s">
        <v>17579</v>
      </c>
      <c r="N1593" s="12" t="s">
        <v>17580</v>
      </c>
    </row>
    <row r="1594" spans="1:14">
      <c r="A1594" s="12" t="s">
        <v>9497</v>
      </c>
      <c r="B1594" s="8">
        <v>2399.8537392696599</v>
      </c>
      <c r="C1594" s="12">
        <v>4948.7990796023896</v>
      </c>
      <c r="D1594" s="8">
        <v>-1.04413198774625</v>
      </c>
      <c r="E1594" s="12">
        <v>3.6786796020904801E-3</v>
      </c>
      <c r="F1594" s="8" t="s">
        <v>7525</v>
      </c>
      <c r="G1594" s="12" t="s">
        <v>7526</v>
      </c>
      <c r="H1594" s="12">
        <v>1</v>
      </c>
      <c r="I1594" s="13" t="str">
        <f>HYPERLINK("http://www.ncbi.nlm.nih.gov/gene/2101", "2101")</f>
        <v>2101</v>
      </c>
      <c r="J1594" s="13" t="str">
        <f>HYPERLINK("http://www.ncbi.nlm.nih.gov/nuccore/NM_004451", "NM_004451")</f>
        <v>NM_004451</v>
      </c>
      <c r="K1594" s="12" t="s">
        <v>7527</v>
      </c>
      <c r="L1594" s="13" t="str">
        <f>HYPERLINK("http://asia.ensembl.org/Homo_sapiens/Gene/Summary?g=ENSG00000173153", "ENSG00000173153")</f>
        <v>ENSG00000173153</v>
      </c>
      <c r="M1594" s="12" t="s">
        <v>19172</v>
      </c>
      <c r="N1594" s="12" t="s">
        <v>19173</v>
      </c>
    </row>
    <row r="1595" spans="1:14">
      <c r="A1595" s="12" t="s">
        <v>9965</v>
      </c>
      <c r="B1595" s="8">
        <v>9384.4643323396303</v>
      </c>
      <c r="C1595" s="12">
        <v>19349.025437422901</v>
      </c>
      <c r="D1595" s="8">
        <v>-1.0439146001055</v>
      </c>
      <c r="E1595" s="12">
        <v>5.44932965383628E-4</v>
      </c>
      <c r="F1595" s="8" t="s">
        <v>8872</v>
      </c>
      <c r="G1595" s="12" t="s">
        <v>8873</v>
      </c>
      <c r="H1595" s="12">
        <v>1</v>
      </c>
      <c r="I1595" s="13" t="str">
        <f>HYPERLINK("http://www.ncbi.nlm.nih.gov/gene/9587", "9587")</f>
        <v>9587</v>
      </c>
      <c r="J1595" s="12" t="s">
        <v>19481</v>
      </c>
      <c r="K1595" s="12" t="s">
        <v>19482</v>
      </c>
      <c r="L1595" s="13" t="str">
        <f>HYPERLINK("http://asia.ensembl.org/Homo_sapiens/Gene/Summary?g=ENSG00000124688", "ENSG00000124688")</f>
        <v>ENSG00000124688</v>
      </c>
      <c r="M1595" s="12" t="s">
        <v>19483</v>
      </c>
      <c r="N1595" s="12" t="s">
        <v>19484</v>
      </c>
    </row>
    <row r="1596" spans="1:14">
      <c r="A1596" s="12" t="s">
        <v>4047</v>
      </c>
      <c r="B1596" s="8">
        <v>3206.4867280096701</v>
      </c>
      <c r="C1596" s="12">
        <v>6607.8816127076898</v>
      </c>
      <c r="D1596" s="8">
        <v>-1.0431944038390599</v>
      </c>
      <c r="E1596" s="12">
        <v>2.2831073960540098E-3</v>
      </c>
      <c r="F1596" s="8" t="s">
        <v>4048</v>
      </c>
      <c r="G1596" s="12" t="s">
        <v>17520</v>
      </c>
      <c r="H1596" s="12">
        <v>1</v>
      </c>
      <c r="I1596" s="13" t="str">
        <f>HYPERLINK("http://www.ncbi.nlm.nih.gov/gene/29888", "29888")</f>
        <v>29888</v>
      </c>
      <c r="J1596" s="12" t="s">
        <v>17521</v>
      </c>
      <c r="K1596" s="12" t="s">
        <v>17522</v>
      </c>
      <c r="L1596" s="13" t="str">
        <f>HYPERLINK("http://asia.ensembl.org/Homo_sapiens/Gene/Summary?g=ENSG00000090372", "ENSG00000090372")</f>
        <v>ENSG00000090372</v>
      </c>
      <c r="M1596" s="12" t="s">
        <v>17523</v>
      </c>
      <c r="N1596" s="12" t="s">
        <v>17524</v>
      </c>
    </row>
    <row r="1597" spans="1:14">
      <c r="A1597" s="12" t="s">
        <v>11294</v>
      </c>
      <c r="B1597" s="8">
        <v>156.71514352462799</v>
      </c>
      <c r="C1597" s="12">
        <v>322.79231031585601</v>
      </c>
      <c r="D1597" s="8">
        <v>-1.04246161512186</v>
      </c>
      <c r="E1597" s="12">
        <v>3.1259392695921498E-2</v>
      </c>
      <c r="F1597" s="8" t="s">
        <v>3140</v>
      </c>
      <c r="G1597" s="12" t="s">
        <v>20030</v>
      </c>
      <c r="H1597" s="12">
        <v>1</v>
      </c>
      <c r="I1597" s="13" t="str">
        <f>HYPERLINK("http://www.ncbi.nlm.nih.gov/gene/7220", "7220")</f>
        <v>7220</v>
      </c>
      <c r="J1597" s="12" t="s">
        <v>20031</v>
      </c>
      <c r="K1597" s="12" t="s">
        <v>20032</v>
      </c>
      <c r="L1597" s="13" t="str">
        <f>HYPERLINK("http://asia.ensembl.org/Homo_sapiens/Gene/Summary?g=ENSG00000144935", "ENSG00000144935")</f>
        <v>ENSG00000144935</v>
      </c>
      <c r="M1597" s="12" t="s">
        <v>20033</v>
      </c>
      <c r="N1597" s="12" t="s">
        <v>20034</v>
      </c>
    </row>
    <row r="1598" spans="1:14">
      <c r="A1598" s="12" t="s">
        <v>4120</v>
      </c>
      <c r="B1598" s="8">
        <v>13115.1473925995</v>
      </c>
      <c r="C1598" s="12">
        <v>27000.7439495867</v>
      </c>
      <c r="D1598" s="8">
        <v>-1.0417651370941501</v>
      </c>
      <c r="E1598" s="12">
        <v>2.3995459390773002E-3</v>
      </c>
      <c r="F1598" s="8" t="s">
        <v>4121</v>
      </c>
      <c r="G1598" s="12" t="s">
        <v>17567</v>
      </c>
      <c r="H1598" s="12">
        <v>1</v>
      </c>
      <c r="I1598" s="13" t="str">
        <f>HYPERLINK("http://www.ncbi.nlm.nih.gov/gene/55845", "55845")</f>
        <v>55845</v>
      </c>
      <c r="J1598" s="13" t="str">
        <f>HYPERLINK("http://www.ncbi.nlm.nih.gov/nuccore/NM_018462", "NM_018462")</f>
        <v>NM_018462</v>
      </c>
      <c r="K1598" s="12" t="s">
        <v>4122</v>
      </c>
      <c r="L1598" s="13" t="str">
        <f>HYPERLINK("http://asia.ensembl.org/Homo_sapiens/Gene/Summary?g=ENSG00000254999", "ENSG00000254999")</f>
        <v>ENSG00000254999</v>
      </c>
      <c r="M1598" s="12" t="s">
        <v>4123</v>
      </c>
      <c r="N1598" s="12" t="s">
        <v>4124</v>
      </c>
    </row>
    <row r="1599" spans="1:14">
      <c r="A1599" s="12" t="s">
        <v>7227</v>
      </c>
      <c r="B1599" s="8">
        <v>83100.419361295702</v>
      </c>
      <c r="C1599" s="12">
        <v>171060.58809961201</v>
      </c>
      <c r="D1599" s="8">
        <v>-1.0415797424464599</v>
      </c>
      <c r="E1599" s="12">
        <v>2.0889922699790699E-2</v>
      </c>
      <c r="F1599" s="8" t="s">
        <v>7228</v>
      </c>
      <c r="G1599" s="12" t="s">
        <v>7229</v>
      </c>
      <c r="H1599" s="12">
        <v>1</v>
      </c>
      <c r="I1599" s="13" t="str">
        <f>HYPERLINK("http://www.ncbi.nlm.nih.gov/gene/1350", "1350")</f>
        <v>1350</v>
      </c>
      <c r="J1599" s="13" t="str">
        <f>HYPERLINK("http://www.ncbi.nlm.nih.gov/nuccore/NM_001867", "NM_001867")</f>
        <v>NM_001867</v>
      </c>
      <c r="K1599" s="12" t="s">
        <v>7230</v>
      </c>
      <c r="L1599" s="13" t="str">
        <f>HYPERLINK("http://asia.ensembl.org/Homo_sapiens/Gene/Summary?g=ENSG00000127184", "ENSG00000127184")</f>
        <v>ENSG00000127184</v>
      </c>
      <c r="M1599" s="12" t="s">
        <v>18440</v>
      </c>
      <c r="N1599" s="12" t="s">
        <v>18441</v>
      </c>
    </row>
    <row r="1600" spans="1:14">
      <c r="A1600" s="12" t="s">
        <v>2422</v>
      </c>
      <c r="B1600" s="8">
        <v>499.40525807936501</v>
      </c>
      <c r="C1600" s="12">
        <v>1027.8774788431299</v>
      </c>
      <c r="D1600" s="8">
        <v>-1.0413853919751199</v>
      </c>
      <c r="E1600" s="12">
        <v>1.01819585415502E-2</v>
      </c>
      <c r="F1600" s="8" t="s">
        <v>2423</v>
      </c>
      <c r="G1600" s="12" t="s">
        <v>2424</v>
      </c>
      <c r="H1600" s="12">
        <v>1</v>
      </c>
      <c r="I1600" s="13" t="str">
        <f>HYPERLINK("http://www.ncbi.nlm.nih.gov/gene/1025", "1025")</f>
        <v>1025</v>
      </c>
      <c r="J1600" s="13" t="str">
        <f>HYPERLINK("http://www.ncbi.nlm.nih.gov/nuccore/NM_001261", "NM_001261")</f>
        <v>NM_001261</v>
      </c>
      <c r="K1600" s="12" t="s">
        <v>2425</v>
      </c>
      <c r="L1600" s="13" t="str">
        <f>HYPERLINK("http://asia.ensembl.org/Homo_sapiens/Gene/Summary?g=ENSG00000136807", "ENSG00000136807")</f>
        <v>ENSG00000136807</v>
      </c>
      <c r="M1600" s="12" t="s">
        <v>17000</v>
      </c>
      <c r="N1600" s="12" t="s">
        <v>17001</v>
      </c>
    </row>
    <row r="1601" spans="1:14">
      <c r="A1601" s="12" t="s">
        <v>4171</v>
      </c>
      <c r="B1601" s="8">
        <v>3811.1712392824402</v>
      </c>
      <c r="C1601" s="12">
        <v>7840.5134915789404</v>
      </c>
      <c r="D1601" s="8">
        <v>-1.0407137113754601</v>
      </c>
      <c r="E1601" s="12">
        <v>7.1357160689464504E-3</v>
      </c>
      <c r="F1601" s="8" t="s">
        <v>4172</v>
      </c>
      <c r="G1601" s="12" t="s">
        <v>352</v>
      </c>
      <c r="H1601" s="12">
        <v>1</v>
      </c>
      <c r="I1601" s="13" t="str">
        <f>HYPERLINK("http://www.ncbi.nlm.nih.gov/gene/318", "318")</f>
        <v>318</v>
      </c>
      <c r="J1601" s="12" t="s">
        <v>17597</v>
      </c>
      <c r="K1601" s="12" t="s">
        <v>17598</v>
      </c>
      <c r="L1601" s="13" t="str">
        <f>HYPERLINK("http://asia.ensembl.org/Homo_sapiens/Gene/Summary?g=ENSG00000164978", "ENSG00000164978")</f>
        <v>ENSG00000164978</v>
      </c>
      <c r="M1601" s="12" t="s">
        <v>17599</v>
      </c>
      <c r="N1601" s="12" t="s">
        <v>17600</v>
      </c>
    </row>
    <row r="1602" spans="1:14">
      <c r="A1602" s="12" t="s">
        <v>1627</v>
      </c>
      <c r="B1602" s="8">
        <v>250.63426505618301</v>
      </c>
      <c r="C1602" s="12">
        <v>515.54701233173705</v>
      </c>
      <c r="D1602" s="8">
        <v>-1.0405203279816</v>
      </c>
      <c r="E1602" s="12">
        <v>8.6303856892721003E-4</v>
      </c>
      <c r="F1602" s="8" t="s">
        <v>1628</v>
      </c>
      <c r="G1602" s="12" t="s">
        <v>1629</v>
      </c>
      <c r="H1602" s="12">
        <v>1</v>
      </c>
      <c r="I1602" s="13" t="str">
        <f>HYPERLINK("http://www.ncbi.nlm.nih.gov/gene/2669", "2669")</f>
        <v>2669</v>
      </c>
      <c r="J1602" s="12" t="s">
        <v>16719</v>
      </c>
      <c r="K1602" s="12" t="s">
        <v>16720</v>
      </c>
      <c r="L1602" s="13" t="str">
        <f>HYPERLINK("http://asia.ensembl.org/Homo_sapiens/Gene/Summary?g=ENSG00000164949", "ENSG00000164949")</f>
        <v>ENSG00000164949</v>
      </c>
      <c r="M1602" s="12" t="s">
        <v>16721</v>
      </c>
      <c r="N1602" s="12" t="s">
        <v>16722</v>
      </c>
    </row>
    <row r="1603" spans="1:14">
      <c r="A1603" s="12" t="s">
        <v>10204</v>
      </c>
      <c r="B1603" s="8">
        <v>8372.64009600184</v>
      </c>
      <c r="C1603" s="12">
        <v>17220.253216277299</v>
      </c>
      <c r="D1603" s="8">
        <v>-1.0403518408096299</v>
      </c>
      <c r="E1603" s="12">
        <v>1.9930294841085899E-3</v>
      </c>
      <c r="F1603" s="8" t="s">
        <v>9730</v>
      </c>
      <c r="G1603" s="12" t="s">
        <v>9731</v>
      </c>
      <c r="H1603" s="12">
        <v>1</v>
      </c>
      <c r="I1603" s="13" t="str">
        <f>HYPERLINK("http://www.ncbi.nlm.nih.gov/gene/1528", "1528")</f>
        <v>1528</v>
      </c>
      <c r="J1603" s="12" t="s">
        <v>19591</v>
      </c>
      <c r="K1603" s="12" t="s">
        <v>19592</v>
      </c>
      <c r="L1603" s="13" t="str">
        <f>HYPERLINK("http://asia.ensembl.org/Homo_sapiens/Gene/Summary?g=ENSG00000166347", "ENSG00000166347")</f>
        <v>ENSG00000166347</v>
      </c>
      <c r="M1603" s="12" t="s">
        <v>19281</v>
      </c>
      <c r="N1603" s="12" t="s">
        <v>19282</v>
      </c>
    </row>
    <row r="1604" spans="1:14">
      <c r="A1604" s="12" t="s">
        <v>3071</v>
      </c>
      <c r="B1604" s="8">
        <v>3348.60809715</v>
      </c>
      <c r="C1604" s="12">
        <v>6886.03398691027</v>
      </c>
      <c r="D1604" s="8">
        <v>-1.04011176077736</v>
      </c>
      <c r="E1604" s="12">
        <v>1.91210242668868E-3</v>
      </c>
      <c r="F1604" s="8" t="s">
        <v>3072</v>
      </c>
      <c r="G1604" s="12" t="s">
        <v>3073</v>
      </c>
      <c r="H1604" s="12">
        <v>1</v>
      </c>
      <c r="I1604" s="13" t="str">
        <f>HYPERLINK("http://www.ncbi.nlm.nih.gov/gene/7918", "7918")</f>
        <v>7918</v>
      </c>
      <c r="J1604" s="12" t="s">
        <v>17198</v>
      </c>
      <c r="K1604" s="12" t="s">
        <v>17199</v>
      </c>
      <c r="L1604" s="13" t="str">
        <f>HYPERLINK("http://asia.ensembl.org/Homo_sapiens/Gene/Summary?g=ENSG00000228605", "ENSG00000228605")</f>
        <v>ENSG00000228605</v>
      </c>
      <c r="M1604" s="12" t="s">
        <v>17200</v>
      </c>
      <c r="N1604" s="12" t="s">
        <v>17201</v>
      </c>
    </row>
    <row r="1605" spans="1:14">
      <c r="A1605" s="12" t="s">
        <v>10111</v>
      </c>
      <c r="B1605" s="8">
        <v>532.03603049629203</v>
      </c>
      <c r="C1605" s="12">
        <v>1094.00803769509</v>
      </c>
      <c r="D1605" s="8">
        <v>-1.04002748146209</v>
      </c>
      <c r="E1605" s="12">
        <v>5.2720542209386901E-3</v>
      </c>
      <c r="F1605" s="8" t="s">
        <v>10112</v>
      </c>
      <c r="G1605" s="12" t="s">
        <v>19544</v>
      </c>
      <c r="H1605" s="12">
        <v>1</v>
      </c>
      <c r="I1605" s="13" t="str">
        <f>HYPERLINK("http://www.ncbi.nlm.nih.gov/gene/26816", "26816")</f>
        <v>26816</v>
      </c>
      <c r="J1605" s="13" t="str">
        <f>HYPERLINK("http://www.ncbi.nlm.nih.gov/nuccore/NR_000018", "NR_000018")</f>
        <v>NR_000018</v>
      </c>
      <c r="K1605" s="12" t="s">
        <v>199</v>
      </c>
      <c r="L1605" s="13" t="str">
        <f>HYPERLINK("http://asia.ensembl.org/Homo_sapiens/Gene/Summary?g=ENSG00000200259", "ENSG00000200259")</f>
        <v>ENSG00000200259</v>
      </c>
      <c r="M1605" s="12" t="s">
        <v>10113</v>
      </c>
    </row>
    <row r="1606" spans="1:14">
      <c r="A1606" s="12" t="s">
        <v>4457</v>
      </c>
      <c r="B1606" s="8">
        <v>20492.9218284708</v>
      </c>
      <c r="C1606" s="12">
        <v>42129.5114772425</v>
      </c>
      <c r="D1606" s="8">
        <v>-1.03970549209441</v>
      </c>
      <c r="E1606" s="12">
        <v>3.03295032151595E-4</v>
      </c>
      <c r="F1606" s="8" t="s">
        <v>4458</v>
      </c>
      <c r="G1606" s="12" t="s">
        <v>17687</v>
      </c>
      <c r="H1606" s="12">
        <v>1</v>
      </c>
      <c r="I1606" s="13" t="str">
        <f>HYPERLINK("http://www.ncbi.nlm.nih.gov/gene/1460", "1460")</f>
        <v>1460</v>
      </c>
      <c r="J1606" s="13" t="str">
        <f>HYPERLINK("http://www.ncbi.nlm.nih.gov/nuccore/NM_001320", "NM_001320")</f>
        <v>NM_001320</v>
      </c>
      <c r="K1606" s="12" t="s">
        <v>4459</v>
      </c>
      <c r="L1606" s="13" t="str">
        <f>HYPERLINK("http://asia.ensembl.org/Homo_sapiens/Gene/Summary?g=ENSG00000206406", "ENSG00000206406")</f>
        <v>ENSG00000206406</v>
      </c>
      <c r="M1606" s="12" t="s">
        <v>17688</v>
      </c>
      <c r="N1606" s="12" t="s">
        <v>17689</v>
      </c>
    </row>
    <row r="1607" spans="1:14">
      <c r="A1607" s="12" t="s">
        <v>2846</v>
      </c>
      <c r="B1607" s="8">
        <v>98.366637889341106</v>
      </c>
      <c r="C1607" s="12">
        <v>202.22137432542701</v>
      </c>
      <c r="D1607" s="8">
        <v>-1.0396944967997701</v>
      </c>
      <c r="E1607" s="12">
        <v>2.51111361300457E-3</v>
      </c>
      <c r="F1607" s="8" t="s">
        <v>2847</v>
      </c>
      <c r="G1607" s="12" t="s">
        <v>2848</v>
      </c>
      <c r="H1607" s="12">
        <v>1</v>
      </c>
      <c r="I1607" s="13" t="str">
        <f>HYPERLINK("http://www.ncbi.nlm.nih.gov/gene/85444", "85444")</f>
        <v>85444</v>
      </c>
      <c r="J1607" s="13" t="str">
        <f>HYPERLINK("http://www.ncbi.nlm.nih.gov/nuccore/NM_033402", "NM_033402")</f>
        <v>NM_033402</v>
      </c>
      <c r="K1607" s="12" t="s">
        <v>2849</v>
      </c>
      <c r="L1607" s="13" t="str">
        <f>HYPERLINK("http://asia.ensembl.org/Homo_sapiens/Gene/Summary?g=ENSG00000133739", "ENSG00000133739")</f>
        <v>ENSG00000133739</v>
      </c>
      <c r="M1607" s="12" t="s">
        <v>17122</v>
      </c>
      <c r="N1607" s="12" t="s">
        <v>17123</v>
      </c>
    </row>
    <row r="1608" spans="1:14">
      <c r="A1608" s="12" t="s">
        <v>9873</v>
      </c>
      <c r="B1608" s="8">
        <v>285.71528390946003</v>
      </c>
      <c r="C1608" s="12">
        <v>587.35545636356801</v>
      </c>
      <c r="D1608" s="8">
        <v>-1.03965564612126</v>
      </c>
      <c r="E1608" s="12">
        <v>7.2589712825983097E-3</v>
      </c>
      <c r="F1608" s="8" t="s">
        <v>9874</v>
      </c>
      <c r="G1608" s="12" t="s">
        <v>19385</v>
      </c>
      <c r="H1608" s="12">
        <v>1</v>
      </c>
      <c r="I1608" s="13" t="str">
        <f>HYPERLINK("http://www.ncbi.nlm.nih.gov/gene/84708", "84708")</f>
        <v>84708</v>
      </c>
      <c r="J1608" s="12" t="s">
        <v>19386</v>
      </c>
      <c r="K1608" s="12" t="s">
        <v>19387</v>
      </c>
      <c r="L1608" s="13" t="str">
        <f>HYPERLINK("http://asia.ensembl.org/Homo_sapiens/Gene/Summary?g=ENSG00000072201", "ENSG00000072201")</f>
        <v>ENSG00000072201</v>
      </c>
      <c r="M1608" s="12" t="s">
        <v>19388</v>
      </c>
      <c r="N1608" s="12" t="s">
        <v>19389</v>
      </c>
    </row>
    <row r="1609" spans="1:14">
      <c r="A1609" s="12" t="s">
        <v>1013</v>
      </c>
      <c r="B1609" s="8">
        <v>62815.626752407501</v>
      </c>
      <c r="C1609" s="12">
        <v>129114.341410243</v>
      </c>
      <c r="D1609" s="8">
        <v>-1.0394538466591201</v>
      </c>
      <c r="E1609" s="12">
        <v>4.66640861617049E-2</v>
      </c>
      <c r="F1609" s="8" t="s">
        <v>1014</v>
      </c>
      <c r="G1609" s="12" t="s">
        <v>1015</v>
      </c>
      <c r="H1609" s="12">
        <v>1</v>
      </c>
      <c r="I1609" s="13" t="str">
        <f>HYPERLINK("http://www.ncbi.nlm.nih.gov/gene/10114", "10114")</f>
        <v>10114</v>
      </c>
      <c r="J1609" s="12" t="s">
        <v>16487</v>
      </c>
      <c r="K1609" s="12" t="s">
        <v>16488</v>
      </c>
      <c r="L1609" s="13" t="str">
        <f>HYPERLINK("http://asia.ensembl.org/Homo_sapiens/Gene/Summary?g=ENSG00000110422", "ENSG00000110422")</f>
        <v>ENSG00000110422</v>
      </c>
      <c r="M1609" s="12" t="s">
        <v>16489</v>
      </c>
      <c r="N1609" s="12" t="s">
        <v>16490</v>
      </c>
    </row>
    <row r="1610" spans="1:14">
      <c r="A1610" s="12" t="s">
        <v>3697</v>
      </c>
      <c r="B1610" s="8">
        <v>815.80470782426596</v>
      </c>
      <c r="C1610" s="12">
        <v>1676.41569228703</v>
      </c>
      <c r="D1610" s="8">
        <v>-1.0390841934281101</v>
      </c>
      <c r="E1610" s="12">
        <v>1.4868884669186001E-2</v>
      </c>
      <c r="F1610" s="8" t="s">
        <v>3698</v>
      </c>
      <c r="G1610" s="12" t="s">
        <v>3699</v>
      </c>
      <c r="H1610" s="12">
        <v>1</v>
      </c>
      <c r="I1610" s="13" t="str">
        <f>HYPERLINK("http://www.ncbi.nlm.nih.gov/gene/116028", "116028")</f>
        <v>116028</v>
      </c>
      <c r="J1610" s="13" t="str">
        <f>HYPERLINK("http://www.ncbi.nlm.nih.gov/nuccore/NM_152308", "NM_152308")</f>
        <v>NM_152308</v>
      </c>
      <c r="K1610" s="12" t="s">
        <v>3700</v>
      </c>
      <c r="L1610" s="13" t="str">
        <f>HYPERLINK("http://asia.ensembl.org/Homo_sapiens/Gene/Summary?g=ENSG00000175643", "ENSG00000175643")</f>
        <v>ENSG00000175643</v>
      </c>
      <c r="M1610" s="12" t="s">
        <v>17379</v>
      </c>
      <c r="N1610" s="12" t="s">
        <v>17380</v>
      </c>
    </row>
    <row r="1611" spans="1:14">
      <c r="A1611" s="12" t="s">
        <v>7112</v>
      </c>
      <c r="B1611" s="8">
        <v>2168.1382302093102</v>
      </c>
      <c r="C1611" s="12">
        <v>4455.0340330440304</v>
      </c>
      <c r="D1611" s="8">
        <v>-1.0389797138565999</v>
      </c>
      <c r="E1611" s="12">
        <v>1.2474053160561899E-2</v>
      </c>
      <c r="F1611" s="8" t="s">
        <v>7113</v>
      </c>
      <c r="G1611" s="12" t="s">
        <v>7114</v>
      </c>
      <c r="H1611" s="12">
        <v>4</v>
      </c>
      <c r="I1611" s="12" t="s">
        <v>7115</v>
      </c>
      <c r="J1611" s="12" t="s">
        <v>7116</v>
      </c>
      <c r="K1611" s="12" t="s">
        <v>7117</v>
      </c>
      <c r="L1611" s="12" t="s">
        <v>7118</v>
      </c>
      <c r="M1611" s="12" t="s">
        <v>18377</v>
      </c>
      <c r="N1611" s="12" t="s">
        <v>18378</v>
      </c>
    </row>
    <row r="1612" spans="1:14">
      <c r="A1612" s="12" t="s">
        <v>6501</v>
      </c>
      <c r="B1612" s="8">
        <v>184.63552938316101</v>
      </c>
      <c r="C1612" s="12">
        <v>379.30514129195399</v>
      </c>
      <c r="D1612" s="8">
        <v>-1.0386787295195701</v>
      </c>
      <c r="E1612" s="12">
        <v>8.6314456637031703E-3</v>
      </c>
      <c r="F1612" s="8" t="s">
        <v>6502</v>
      </c>
      <c r="G1612" s="12" t="s">
        <v>6503</v>
      </c>
      <c r="H1612" s="12">
        <v>1</v>
      </c>
      <c r="I1612" s="13" t="str">
        <f>HYPERLINK("http://www.ncbi.nlm.nih.gov/gene/201516", "201516")</f>
        <v>201516</v>
      </c>
      <c r="J1612" s="13" t="str">
        <f>HYPERLINK("http://www.ncbi.nlm.nih.gov/nuccore/NM_152677", "NM_152677")</f>
        <v>NM_152677</v>
      </c>
      <c r="K1612" s="12" t="s">
        <v>6504</v>
      </c>
      <c r="L1612" s="13" t="str">
        <f>HYPERLINK("http://asia.ensembl.org/Homo_sapiens/Gene/Summary?g=ENSG00000180532", "ENSG00000180532")</f>
        <v>ENSG00000180532</v>
      </c>
      <c r="M1612" s="12" t="s">
        <v>18190</v>
      </c>
      <c r="N1612" s="12" t="s">
        <v>18191</v>
      </c>
    </row>
    <row r="1613" spans="1:14">
      <c r="A1613" s="12" t="s">
        <v>10818</v>
      </c>
      <c r="B1613" s="8">
        <v>9930.3640157670907</v>
      </c>
      <c r="C1613" s="12">
        <v>20391.800453378699</v>
      </c>
      <c r="D1613" s="8">
        <v>-1.03807065238425</v>
      </c>
      <c r="E1613" s="12">
        <v>7.4158512913708998E-3</v>
      </c>
      <c r="F1613" s="8" t="s">
        <v>2811</v>
      </c>
      <c r="G1613" s="12" t="s">
        <v>19867</v>
      </c>
      <c r="H1613" s="12">
        <v>1</v>
      </c>
      <c r="I1613" s="13" t="str">
        <f>HYPERLINK("http://www.ncbi.nlm.nih.gov/gene/112939", "112939")</f>
        <v>112939</v>
      </c>
      <c r="J1613" s="13" t="str">
        <f>HYPERLINK("http://www.ncbi.nlm.nih.gov/nuccore/NM_052876", "NM_052876")</f>
        <v>NM_052876</v>
      </c>
      <c r="K1613" s="12" t="s">
        <v>2812</v>
      </c>
      <c r="L1613" s="13" t="str">
        <f>HYPERLINK("http://asia.ensembl.org/Homo_sapiens/Gene/Summary?g=ENSG00000160877", "ENSG00000160877")</f>
        <v>ENSG00000160877</v>
      </c>
      <c r="M1613" s="12" t="s">
        <v>19868</v>
      </c>
      <c r="N1613" s="12" t="s">
        <v>19869</v>
      </c>
    </row>
    <row r="1614" spans="1:14">
      <c r="A1614" s="12" t="s">
        <v>9567</v>
      </c>
      <c r="B1614" s="8">
        <v>4696.4568875770101</v>
      </c>
      <c r="C1614" s="12">
        <v>9641.7894844422208</v>
      </c>
      <c r="D1614" s="8">
        <v>-1.0377281651233901</v>
      </c>
      <c r="E1614" s="12">
        <v>8.0465252177862601E-3</v>
      </c>
      <c r="F1614" s="8" t="s">
        <v>9568</v>
      </c>
      <c r="G1614" s="12" t="s">
        <v>9569</v>
      </c>
      <c r="H1614" s="12">
        <v>1</v>
      </c>
      <c r="I1614" s="13" t="str">
        <f>HYPERLINK("http://www.ncbi.nlm.nih.gov/gene/55311", "55311")</f>
        <v>55311</v>
      </c>
      <c r="J1614" s="12" t="s">
        <v>19193</v>
      </c>
      <c r="K1614" s="12" t="s">
        <v>19194</v>
      </c>
      <c r="L1614" s="13" t="str">
        <f>HYPERLINK("http://asia.ensembl.org/Homo_sapiens/Gene/Summary?g=ENSG00000167685", "ENSG00000167685")</f>
        <v>ENSG00000167685</v>
      </c>
      <c r="M1614" s="12" t="s">
        <v>19195</v>
      </c>
      <c r="N1614" s="12" t="s">
        <v>19196</v>
      </c>
    </row>
    <row r="1615" spans="1:14">
      <c r="A1615" s="12" t="s">
        <v>403</v>
      </c>
      <c r="B1615" s="8">
        <v>5952.6765982223296</v>
      </c>
      <c r="C1615" s="12">
        <v>12219.8358717382</v>
      </c>
      <c r="D1615" s="8">
        <v>-1.0376144863021199</v>
      </c>
      <c r="E1615" s="12">
        <v>1.35316541823632E-2</v>
      </c>
      <c r="F1615" s="8" t="s">
        <v>404</v>
      </c>
      <c r="G1615" s="12" t="s">
        <v>16322</v>
      </c>
      <c r="H1615" s="12">
        <v>1</v>
      </c>
      <c r="I1615" s="13" t="str">
        <f>HYPERLINK("http://www.ncbi.nlm.nih.gov/gene/9902", "9902")</f>
        <v>9902</v>
      </c>
      <c r="J1615" s="13" t="str">
        <f>HYPERLINK("http://www.ncbi.nlm.nih.gov/nuccore/NM_006039", "NM_006039")</f>
        <v>NM_006039</v>
      </c>
      <c r="K1615" s="12" t="s">
        <v>405</v>
      </c>
      <c r="L1615" s="13" t="str">
        <f>HYPERLINK("http://asia.ensembl.org/Homo_sapiens/Gene/Summary?g=ENSG00000011028", "ENSG00000011028")</f>
        <v>ENSG00000011028</v>
      </c>
      <c r="M1615" s="12" t="s">
        <v>16323</v>
      </c>
      <c r="N1615" s="12" t="s">
        <v>16324</v>
      </c>
    </row>
    <row r="1616" spans="1:14">
      <c r="A1616" s="12" t="s">
        <v>122</v>
      </c>
      <c r="B1616" s="8">
        <v>2353.09893812276</v>
      </c>
      <c r="C1616" s="12">
        <v>4829.4829989641703</v>
      </c>
      <c r="D1616" s="8">
        <v>-1.03730677414044</v>
      </c>
      <c r="E1616" s="12">
        <v>1.04609454006341E-2</v>
      </c>
      <c r="F1616" s="8" t="s">
        <v>123</v>
      </c>
      <c r="G1616" s="12" t="s">
        <v>124</v>
      </c>
      <c r="H1616" s="12">
        <v>1</v>
      </c>
      <c r="I1616" s="13" t="str">
        <f>HYPERLINK("http://www.ncbi.nlm.nih.gov/gene/9355", "9355")</f>
        <v>9355</v>
      </c>
      <c r="J1616" s="13" t="str">
        <f>HYPERLINK("http://www.ncbi.nlm.nih.gov/nuccore/NM_004789", "NM_004789")</f>
        <v>NM_004789</v>
      </c>
      <c r="K1616" s="12" t="s">
        <v>125</v>
      </c>
      <c r="L1616" s="13" t="str">
        <f>HYPERLINK("http://asia.ensembl.org/Homo_sapiens/Gene/Summary?g=ENSG00000106689", "ENSG00000106689")</f>
        <v>ENSG00000106689</v>
      </c>
      <c r="M1616" s="12" t="s">
        <v>16256</v>
      </c>
      <c r="N1616" s="12" t="s">
        <v>16257</v>
      </c>
    </row>
    <row r="1617" spans="1:14">
      <c r="A1617" s="12" t="s">
        <v>1141</v>
      </c>
      <c r="B1617" s="8">
        <v>38568.018711750403</v>
      </c>
      <c r="C1617" s="12">
        <v>79145.139995157602</v>
      </c>
      <c r="D1617" s="8">
        <v>-1.03709572782742</v>
      </c>
      <c r="E1617" s="12">
        <v>5.0170275377008804E-4</v>
      </c>
      <c r="F1617" s="8" t="s">
        <v>1142</v>
      </c>
      <c r="G1617" s="12" t="s">
        <v>1143</v>
      </c>
      <c r="H1617" s="12">
        <v>1</v>
      </c>
      <c r="I1617" s="13" t="str">
        <f>HYPERLINK("http://www.ncbi.nlm.nih.gov/gene/201254", "201254")</f>
        <v>201254</v>
      </c>
      <c r="J1617" s="12" t="s">
        <v>16521</v>
      </c>
      <c r="K1617" s="12" t="s">
        <v>16522</v>
      </c>
      <c r="L1617" s="13" t="str">
        <f>HYPERLINK("http://asia.ensembl.org/Homo_sapiens/Gene/Summary?g=ENSG00000169689", "ENSG00000169689")</f>
        <v>ENSG00000169689</v>
      </c>
      <c r="M1617" s="12" t="s">
        <v>16523</v>
      </c>
      <c r="N1617" s="12" t="s">
        <v>16524</v>
      </c>
    </row>
    <row r="1618" spans="1:14">
      <c r="A1618" s="12" t="s">
        <v>9610</v>
      </c>
      <c r="B1618" s="8">
        <v>1877.4154364702699</v>
      </c>
      <c r="C1618" s="12">
        <v>3852.0553774889199</v>
      </c>
      <c r="D1618" s="8">
        <v>-1.03688051706492</v>
      </c>
      <c r="E1618" s="12">
        <v>3.2029846806751602E-3</v>
      </c>
      <c r="F1618" s="8" t="s">
        <v>8949</v>
      </c>
      <c r="G1618" s="12" t="s">
        <v>8950</v>
      </c>
      <c r="H1618" s="12">
        <v>1</v>
      </c>
      <c r="I1618" s="13" t="str">
        <f>HYPERLINK("http://www.ncbi.nlm.nih.gov/gene/8824", "8824")</f>
        <v>8824</v>
      </c>
      <c r="J1618" s="12" t="s">
        <v>19222</v>
      </c>
      <c r="K1618" s="12" t="s">
        <v>19223</v>
      </c>
      <c r="L1618" s="13" t="str">
        <f>HYPERLINK("http://asia.ensembl.org/Homo_sapiens/Gene/Summary?g=ENSG00000172831", "ENSG00000172831")</f>
        <v>ENSG00000172831</v>
      </c>
      <c r="M1618" s="12" t="s">
        <v>19224</v>
      </c>
      <c r="N1618" s="12" t="s">
        <v>19225</v>
      </c>
    </row>
    <row r="1619" spans="1:14">
      <c r="A1619" s="12" t="s">
        <v>2951</v>
      </c>
      <c r="B1619" s="8">
        <v>781.54057527252496</v>
      </c>
      <c r="C1619" s="12">
        <v>1603.2507941065801</v>
      </c>
      <c r="D1619" s="8">
        <v>-1.0366074410209001</v>
      </c>
      <c r="E1619" s="12">
        <v>7.0267092335294899E-3</v>
      </c>
      <c r="F1619" s="8" t="s">
        <v>2952</v>
      </c>
      <c r="G1619" s="12" t="s">
        <v>2953</v>
      </c>
      <c r="H1619" s="12">
        <v>1</v>
      </c>
      <c r="I1619" s="13" t="str">
        <f>HYPERLINK("http://www.ncbi.nlm.nih.gov/gene/116412", "116412")</f>
        <v>116412</v>
      </c>
      <c r="J1619" s="12" t="s">
        <v>17148</v>
      </c>
      <c r="K1619" s="12" t="s">
        <v>17149</v>
      </c>
      <c r="L1619" s="13" t="str">
        <f>HYPERLINK("http://asia.ensembl.org/Homo_sapiens/Gene/Summary?g=ENSG00000152475", "ENSG00000152475")</f>
        <v>ENSG00000152475</v>
      </c>
      <c r="M1619" s="12" t="s">
        <v>17150</v>
      </c>
      <c r="N1619" s="12" t="s">
        <v>17151</v>
      </c>
    </row>
    <row r="1620" spans="1:14">
      <c r="A1620" s="12" t="s">
        <v>4930</v>
      </c>
      <c r="B1620" s="8">
        <v>819.34929678954302</v>
      </c>
      <c r="C1620" s="12">
        <v>1680.6167593591099</v>
      </c>
      <c r="D1620" s="8">
        <v>-1.03644025266569</v>
      </c>
      <c r="E1620" s="12">
        <v>6.6400636104605202E-5</v>
      </c>
      <c r="F1620" s="8" t="s">
        <v>4931</v>
      </c>
      <c r="G1620" s="12" t="s">
        <v>17764</v>
      </c>
      <c r="H1620" s="12">
        <v>1</v>
      </c>
      <c r="I1620" s="13" t="str">
        <f>HYPERLINK("http://www.ncbi.nlm.nih.gov/gene/138151", "138151")</f>
        <v>138151</v>
      </c>
      <c r="J1620" s="13" t="str">
        <f>HYPERLINK("http://www.ncbi.nlm.nih.gov/nuccore/NM_144653", "NM_144653")</f>
        <v>NM_144653</v>
      </c>
      <c r="K1620" s="12" t="s">
        <v>4932</v>
      </c>
      <c r="L1620" s="13" t="str">
        <f>HYPERLINK("http://asia.ensembl.org/Homo_sapiens/Gene/Summary?g=ENSG00000148411", "ENSG00000148411")</f>
        <v>ENSG00000148411</v>
      </c>
      <c r="M1620" s="12" t="s">
        <v>17765</v>
      </c>
      <c r="N1620" s="12" t="s">
        <v>17766</v>
      </c>
    </row>
    <row r="1621" spans="1:14">
      <c r="A1621" s="12" t="s">
        <v>3183</v>
      </c>
      <c r="B1621" s="8">
        <v>76.250363670642898</v>
      </c>
      <c r="C1621" s="12">
        <v>156.39741552058101</v>
      </c>
      <c r="D1621" s="8">
        <v>-1.03640054867233</v>
      </c>
      <c r="E1621" s="12">
        <v>1.9263973339606201E-2</v>
      </c>
      <c r="F1621" s="8" t="s">
        <v>3184</v>
      </c>
      <c r="G1621" s="12" t="s">
        <v>3185</v>
      </c>
      <c r="H1621" s="12">
        <v>1</v>
      </c>
      <c r="I1621" s="13" t="str">
        <f>HYPERLINK("http://www.ncbi.nlm.nih.gov/gene/83716", "83716")</f>
        <v>83716</v>
      </c>
      <c r="J1621" s="13" t="str">
        <f>HYPERLINK("http://www.ncbi.nlm.nih.gov/nuccore/NM_031476", "NM_031476")</f>
        <v>NM_031476</v>
      </c>
      <c r="K1621" s="12" t="s">
        <v>3186</v>
      </c>
      <c r="L1621" s="13" t="str">
        <f>HYPERLINK("http://asia.ensembl.org/Homo_sapiens/Gene/Summary?g=ENSG00000103196", "ENSG00000103196")</f>
        <v>ENSG00000103196</v>
      </c>
      <c r="M1621" s="12" t="s">
        <v>17237</v>
      </c>
      <c r="N1621" s="12" t="s">
        <v>17238</v>
      </c>
    </row>
    <row r="1622" spans="1:14">
      <c r="A1622" s="12" t="s">
        <v>9863</v>
      </c>
      <c r="B1622" s="8">
        <v>2775.0043013975501</v>
      </c>
      <c r="C1622" s="12">
        <v>5689.4820054001802</v>
      </c>
      <c r="D1622" s="8">
        <v>-1.0358073017134199</v>
      </c>
      <c r="E1622" s="12">
        <v>5.75217854851162E-3</v>
      </c>
      <c r="F1622" s="8" t="s">
        <v>6305</v>
      </c>
      <c r="G1622" s="12" t="s">
        <v>19378</v>
      </c>
      <c r="H1622" s="12">
        <v>1</v>
      </c>
      <c r="I1622" s="13" t="str">
        <f>HYPERLINK("http://www.ncbi.nlm.nih.gov/gene/594", "594")</f>
        <v>594</v>
      </c>
      <c r="J1622" s="13" t="str">
        <f>HYPERLINK("http://www.ncbi.nlm.nih.gov/nuccore/NM_000056", "NM_000056")</f>
        <v>NM_000056</v>
      </c>
      <c r="K1622" s="12" t="s">
        <v>9864</v>
      </c>
      <c r="L1622" s="13" t="str">
        <f>HYPERLINK("http://asia.ensembl.org/Homo_sapiens/Gene/Summary?g=ENSG00000083123", "ENSG00000083123")</f>
        <v>ENSG00000083123</v>
      </c>
      <c r="M1622" s="12" t="s">
        <v>19379</v>
      </c>
      <c r="N1622" s="12" t="s">
        <v>19380</v>
      </c>
    </row>
    <row r="1623" spans="1:14">
      <c r="A1623" s="12" t="s">
        <v>5552</v>
      </c>
      <c r="B1623" s="8">
        <v>879.14155399626395</v>
      </c>
      <c r="C1623" s="12">
        <v>1802.2271850816001</v>
      </c>
      <c r="D1623" s="8">
        <v>-1.0356135026915001</v>
      </c>
      <c r="E1623" s="12">
        <v>5.5376701093212098E-3</v>
      </c>
      <c r="F1623" s="8" t="s">
        <v>5553</v>
      </c>
      <c r="G1623" s="12" t="s">
        <v>17898</v>
      </c>
      <c r="H1623" s="12">
        <v>1</v>
      </c>
      <c r="I1623" s="13" t="str">
        <f>HYPERLINK("http://www.ncbi.nlm.nih.gov/gene/1284", "1284")</f>
        <v>1284</v>
      </c>
      <c r="J1623" s="13" t="str">
        <f>HYPERLINK("http://www.ncbi.nlm.nih.gov/nuccore/NM_001846", "NM_001846")</f>
        <v>NM_001846</v>
      </c>
      <c r="K1623" s="12" t="s">
        <v>5554</v>
      </c>
      <c r="L1623" s="13" t="str">
        <f>HYPERLINK("http://asia.ensembl.org/Homo_sapiens/Gene/Summary?g=ENSG00000134871", "ENSG00000134871")</f>
        <v>ENSG00000134871</v>
      </c>
      <c r="M1623" s="12" t="s">
        <v>17899</v>
      </c>
      <c r="N1623" s="12" t="s">
        <v>17900</v>
      </c>
    </row>
    <row r="1624" spans="1:14">
      <c r="A1624" s="12" t="s">
        <v>11218</v>
      </c>
      <c r="B1624" s="8">
        <v>1760.2514180237199</v>
      </c>
      <c r="C1624" s="12">
        <v>3608.4757377675201</v>
      </c>
      <c r="D1624" s="8">
        <v>-1.03560804978861</v>
      </c>
      <c r="E1624" s="12">
        <v>3.1654373219533301E-2</v>
      </c>
      <c r="F1624" s="8" t="s">
        <v>6584</v>
      </c>
      <c r="G1624" s="12" t="s">
        <v>6585</v>
      </c>
      <c r="H1624" s="12">
        <v>1</v>
      </c>
      <c r="I1624" s="13" t="str">
        <f>HYPERLINK("http://www.ncbi.nlm.nih.gov/gene/1902", "1902")</f>
        <v>1902</v>
      </c>
      <c r="J1624" s="12" t="s">
        <v>18216</v>
      </c>
      <c r="K1624" s="12" t="s">
        <v>18217</v>
      </c>
      <c r="L1624" s="13" t="str">
        <f>HYPERLINK("http://asia.ensembl.org/Homo_sapiens/Gene/Summary?g=ENSG00000198121", "ENSG00000198121")</f>
        <v>ENSG00000198121</v>
      </c>
      <c r="M1624" s="12" t="s">
        <v>18218</v>
      </c>
      <c r="N1624" s="12" t="s">
        <v>18219</v>
      </c>
    </row>
    <row r="1625" spans="1:14">
      <c r="A1625" s="12" t="s">
        <v>8909</v>
      </c>
      <c r="B1625" s="8">
        <v>1277.88850514452</v>
      </c>
      <c r="C1625" s="12">
        <v>2619.5244228712099</v>
      </c>
      <c r="D1625" s="8">
        <v>-1.03554294522279</v>
      </c>
      <c r="E1625" s="12">
        <v>2.3418190634857802E-3</v>
      </c>
      <c r="F1625" s="8" t="s">
        <v>8910</v>
      </c>
      <c r="G1625" s="12" t="s">
        <v>8911</v>
      </c>
      <c r="H1625" s="12">
        <v>4</v>
      </c>
      <c r="I1625" s="12" t="s">
        <v>8912</v>
      </c>
      <c r="J1625" s="12" t="s">
        <v>19011</v>
      </c>
      <c r="K1625" s="12" t="s">
        <v>19012</v>
      </c>
      <c r="L1625" s="13" t="str">
        <f>HYPERLINK("http://asia.ensembl.org/Homo_sapiens/Gene/Summary?g=ENSG00000213593", "ENSG00000213593")</f>
        <v>ENSG00000213593</v>
      </c>
      <c r="M1625" s="12" t="s">
        <v>19013</v>
      </c>
      <c r="N1625" s="12" t="s">
        <v>19014</v>
      </c>
    </row>
    <row r="1626" spans="1:14">
      <c r="A1626" s="12" t="s">
        <v>10795</v>
      </c>
      <c r="B1626" s="8">
        <v>1948.4520856546201</v>
      </c>
      <c r="C1626" s="12">
        <v>3994.0985925673399</v>
      </c>
      <c r="D1626" s="8">
        <v>-1.0355414908551701</v>
      </c>
      <c r="E1626" s="12">
        <v>5.5146734175100199E-3</v>
      </c>
      <c r="F1626" s="8" t="s">
        <v>6048</v>
      </c>
      <c r="G1626" s="12" t="s">
        <v>6049</v>
      </c>
      <c r="H1626" s="12">
        <v>1</v>
      </c>
      <c r="I1626" s="13" t="str">
        <f>HYPERLINK("http://www.ncbi.nlm.nih.gov/gene/29914", "29914")</f>
        <v>29914</v>
      </c>
      <c r="J1626" s="13" t="str">
        <f>HYPERLINK("http://www.ncbi.nlm.nih.gov/nuccore/NM_013319", "NM_013319")</f>
        <v>NM_013319</v>
      </c>
      <c r="K1626" s="12" t="s">
        <v>6050</v>
      </c>
      <c r="L1626" s="13" t="str">
        <f>HYPERLINK("http://asia.ensembl.org/Homo_sapiens/Gene/Summary?g=ENSG00000120942", "ENSG00000120942")</f>
        <v>ENSG00000120942</v>
      </c>
      <c r="M1626" s="12" t="s">
        <v>19855</v>
      </c>
      <c r="N1626" s="12" t="s">
        <v>19856</v>
      </c>
    </row>
    <row r="1627" spans="1:14">
      <c r="A1627" s="12" t="s">
        <v>9612</v>
      </c>
      <c r="B1627" s="8">
        <v>757.493517596983</v>
      </c>
      <c r="C1627" s="12">
        <v>1552.63147855795</v>
      </c>
      <c r="D1627" s="8">
        <v>-1.0354099950387701</v>
      </c>
      <c r="E1627" s="12">
        <v>5.7044101691057503E-3</v>
      </c>
      <c r="F1627" s="8" t="s">
        <v>7356</v>
      </c>
      <c r="G1627" s="12" t="s">
        <v>7357</v>
      </c>
      <c r="H1627" s="12">
        <v>1</v>
      </c>
      <c r="I1627" s="13" t="str">
        <f>HYPERLINK("http://www.ncbi.nlm.nih.gov/gene/246330", "246330")</f>
        <v>246330</v>
      </c>
      <c r="J1627" s="12" t="s">
        <v>18486</v>
      </c>
      <c r="K1627" s="12" t="s">
        <v>18487</v>
      </c>
      <c r="L1627" s="13" t="str">
        <f>HYPERLINK("http://asia.ensembl.org/Homo_sapiens/Gene/Summary?g=ENSG00000174516", "ENSG00000174516")</f>
        <v>ENSG00000174516</v>
      </c>
      <c r="M1627" s="12" t="s">
        <v>18488</v>
      </c>
      <c r="N1627" s="12" t="s">
        <v>18489</v>
      </c>
    </row>
    <row r="1628" spans="1:14">
      <c r="A1628" s="12" t="s">
        <v>258</v>
      </c>
      <c r="B1628" s="8">
        <v>5540.2552705370499</v>
      </c>
      <c r="C1628" s="12">
        <v>11353.061751945699</v>
      </c>
      <c r="D1628" s="8">
        <v>-1.03505706744487</v>
      </c>
      <c r="E1628" s="12">
        <v>8.0073990270381704E-4</v>
      </c>
      <c r="F1628" s="8" t="s">
        <v>259</v>
      </c>
      <c r="G1628" s="12" t="s">
        <v>260</v>
      </c>
      <c r="H1628" s="12">
        <v>1</v>
      </c>
      <c r="I1628" s="13" t="str">
        <f>HYPERLINK("http://www.ncbi.nlm.nih.gov/gene/79023", "79023")</f>
        <v>79023</v>
      </c>
      <c r="J1628" s="13" t="str">
        <f>HYPERLINK("http://www.ncbi.nlm.nih.gov/nuccore/NM_024057", "NM_024057")</f>
        <v>NM_024057</v>
      </c>
      <c r="K1628" s="12" t="s">
        <v>261</v>
      </c>
      <c r="L1628" s="13" t="str">
        <f>HYPERLINK("http://asia.ensembl.org/Homo_sapiens/Gene/Summary?g=ENSG00000075188", "ENSG00000075188")</f>
        <v>ENSG00000075188</v>
      </c>
      <c r="M1628" s="12" t="s">
        <v>16296</v>
      </c>
      <c r="N1628" s="12" t="s">
        <v>16297</v>
      </c>
    </row>
    <row r="1629" spans="1:14">
      <c r="A1629" s="12" t="s">
        <v>10255</v>
      </c>
      <c r="B1629" s="8">
        <v>29789.2210528621</v>
      </c>
      <c r="C1629" s="12">
        <v>61027.422842431799</v>
      </c>
      <c r="D1629" s="8">
        <v>-1.0346672678164699</v>
      </c>
      <c r="E1629" s="12">
        <v>3.8136138038067499E-3</v>
      </c>
      <c r="F1629" s="8" t="s">
        <v>10256</v>
      </c>
      <c r="G1629" s="12" t="s">
        <v>10257</v>
      </c>
      <c r="H1629" s="12">
        <v>1</v>
      </c>
      <c r="I1629" s="13" t="str">
        <f>HYPERLINK("http://www.ncbi.nlm.nih.gov/gene/3276", "3276")</f>
        <v>3276</v>
      </c>
      <c r="J1629" s="12" t="s">
        <v>19635</v>
      </c>
      <c r="K1629" s="12" t="s">
        <v>19636</v>
      </c>
      <c r="L1629" s="13" t="str">
        <f>HYPERLINK("http://asia.ensembl.org/Homo_sapiens/Gene/Summary?g=ENSG00000126457", "ENSG00000126457")</f>
        <v>ENSG00000126457</v>
      </c>
      <c r="M1629" s="12" t="s">
        <v>19637</v>
      </c>
      <c r="N1629" s="12" t="s">
        <v>19638</v>
      </c>
    </row>
    <row r="1630" spans="1:14">
      <c r="A1630" s="12" t="s">
        <v>9475</v>
      </c>
      <c r="B1630" s="8">
        <v>18016.414917874499</v>
      </c>
      <c r="C1630" s="12">
        <v>36906.344732191399</v>
      </c>
      <c r="D1630" s="8">
        <v>-1.0345568994954399</v>
      </c>
      <c r="E1630" s="12">
        <v>4.7482215834327903E-3</v>
      </c>
      <c r="F1630" s="8" t="s">
        <v>581</v>
      </c>
      <c r="G1630" s="12" t="s">
        <v>582</v>
      </c>
      <c r="H1630" s="12">
        <v>1</v>
      </c>
      <c r="I1630" s="13" t="str">
        <f>HYPERLINK("http://www.ncbi.nlm.nih.gov/gene/114915", "114915")</f>
        <v>114915</v>
      </c>
      <c r="J1630" s="13" t="str">
        <f>HYPERLINK("http://www.ncbi.nlm.nih.gov/nuccore/NR_015370", "NR_015370")</f>
        <v>NR_015370</v>
      </c>
      <c r="K1630" s="12" t="s">
        <v>199</v>
      </c>
      <c r="L1630" s="12" t="s">
        <v>38</v>
      </c>
      <c r="M1630" s="12" t="s">
        <v>38</v>
      </c>
      <c r="N1630" s="12" t="s">
        <v>38</v>
      </c>
    </row>
    <row r="1631" spans="1:14">
      <c r="A1631" s="12" t="s">
        <v>11247</v>
      </c>
      <c r="B1631" s="8">
        <v>718.58635619811798</v>
      </c>
      <c r="C1631" s="12">
        <v>1471.50630591604</v>
      </c>
      <c r="D1631" s="8">
        <v>-1.0340602764847799</v>
      </c>
      <c r="E1631" s="12">
        <v>1.80558684550647E-2</v>
      </c>
      <c r="F1631" s="8" t="s">
        <v>5062</v>
      </c>
      <c r="G1631" s="12" t="s">
        <v>5063</v>
      </c>
      <c r="H1631" s="12">
        <v>1</v>
      </c>
      <c r="I1631" s="13" t="str">
        <f>HYPERLINK("http://www.ncbi.nlm.nih.gov/gene/54828", "54828")</f>
        <v>54828</v>
      </c>
      <c r="J1631" s="12" t="s">
        <v>20009</v>
      </c>
      <c r="K1631" s="12" t="s">
        <v>20010</v>
      </c>
      <c r="L1631" s="13" t="str">
        <f>HYPERLINK("http://asia.ensembl.org/Homo_sapiens/Gene/Summary?g=ENSG00000141376", "ENSG00000141376")</f>
        <v>ENSG00000141376</v>
      </c>
      <c r="M1631" s="12" t="s">
        <v>20011</v>
      </c>
      <c r="N1631" s="12" t="s">
        <v>20012</v>
      </c>
    </row>
    <row r="1632" spans="1:14">
      <c r="A1632" s="12" t="s">
        <v>3099</v>
      </c>
      <c r="B1632" s="8">
        <v>356.76015552848901</v>
      </c>
      <c r="C1632" s="12">
        <v>730.44051110378405</v>
      </c>
      <c r="D1632" s="8">
        <v>-1.0338122831144101</v>
      </c>
      <c r="E1632" s="12">
        <v>3.4754645310738401E-2</v>
      </c>
      <c r="F1632" s="8" t="s">
        <v>3100</v>
      </c>
      <c r="G1632" s="12" t="s">
        <v>17204</v>
      </c>
      <c r="H1632" s="12">
        <v>1</v>
      </c>
      <c r="I1632" s="13" t="str">
        <f>HYPERLINK("http://www.ncbi.nlm.nih.gov/gene/8360", "8360")</f>
        <v>8360</v>
      </c>
      <c r="J1632" s="13" t="str">
        <f>HYPERLINK("http://www.ncbi.nlm.nih.gov/nuccore/NM_003539", "NM_003539")</f>
        <v>NM_003539</v>
      </c>
      <c r="K1632" s="12" t="s">
        <v>3101</v>
      </c>
      <c r="L1632" s="13" t="str">
        <f>HYPERLINK("http://asia.ensembl.org/Homo_sapiens/Gene/Summary?g=ENSG00000277157", "ENSG00000277157")</f>
        <v>ENSG00000277157</v>
      </c>
      <c r="M1632" s="12" t="s">
        <v>3102</v>
      </c>
      <c r="N1632" s="12" t="s">
        <v>3103</v>
      </c>
    </row>
    <row r="1633" spans="1:14">
      <c r="A1633" s="12" t="s">
        <v>6266</v>
      </c>
      <c r="B1633" s="8">
        <v>358.84387878658401</v>
      </c>
      <c r="C1633" s="12">
        <v>734.56150578476604</v>
      </c>
      <c r="D1633" s="8">
        <v>-1.0335269833520799</v>
      </c>
      <c r="E1633" s="12">
        <v>1.32843018473547E-2</v>
      </c>
      <c r="F1633" s="8" t="s">
        <v>4336</v>
      </c>
      <c r="G1633" s="12" t="s">
        <v>18102</v>
      </c>
      <c r="H1633" s="12">
        <v>1</v>
      </c>
      <c r="I1633" s="13" t="str">
        <f>HYPERLINK("http://www.ncbi.nlm.nih.gov/gene/56479", "56479")</f>
        <v>56479</v>
      </c>
      <c r="J1633" s="12" t="s">
        <v>18103</v>
      </c>
      <c r="K1633" s="12" t="s">
        <v>18104</v>
      </c>
      <c r="L1633" s="13" t="str">
        <f>HYPERLINK("http://asia.ensembl.org/Homo_sapiens/Gene/Summary?g=ENSG00000185760", "ENSG00000185760")</f>
        <v>ENSG00000185760</v>
      </c>
      <c r="M1633" s="12" t="s">
        <v>18105</v>
      </c>
      <c r="N1633" s="12" t="s">
        <v>18106</v>
      </c>
    </row>
    <row r="1634" spans="1:14">
      <c r="A1634" s="12" t="s">
        <v>11419</v>
      </c>
      <c r="B1634" s="8">
        <v>1023.07273174164</v>
      </c>
      <c r="C1634" s="12">
        <v>2093.8729322419499</v>
      </c>
      <c r="D1634" s="8">
        <v>-1.0332651821966301</v>
      </c>
      <c r="E1634" s="12">
        <v>1.35391619178232E-2</v>
      </c>
      <c r="F1634" s="8" t="s">
        <v>3720</v>
      </c>
      <c r="G1634" s="12" t="s">
        <v>3721</v>
      </c>
      <c r="H1634" s="12">
        <v>4</v>
      </c>
      <c r="I1634" s="12" t="s">
        <v>3722</v>
      </c>
      <c r="J1634" s="12" t="s">
        <v>3723</v>
      </c>
      <c r="K1634" s="12" t="s">
        <v>3724</v>
      </c>
      <c r="L1634" s="13" t="str">
        <f>HYPERLINK("http://asia.ensembl.org/Homo_sapiens/Gene/Summary?g=ENSG00000214435", "ENSG00000214435")</f>
        <v>ENSG00000214435</v>
      </c>
      <c r="M1634" s="12" t="s">
        <v>19857</v>
      </c>
      <c r="N1634" s="12" t="s">
        <v>19858</v>
      </c>
    </row>
    <row r="1635" spans="1:14">
      <c r="A1635" s="12" t="s">
        <v>10417</v>
      </c>
      <c r="B1635" s="8">
        <v>14884.1223171275</v>
      </c>
      <c r="C1635" s="12">
        <v>30459.108471036699</v>
      </c>
      <c r="D1635" s="8">
        <v>-1.0330995635566</v>
      </c>
      <c r="E1635" s="12">
        <v>5.7461645032704997E-3</v>
      </c>
      <c r="F1635" s="8" t="s">
        <v>10418</v>
      </c>
      <c r="G1635" s="12" t="s">
        <v>10419</v>
      </c>
      <c r="H1635" s="12">
        <v>1</v>
      </c>
      <c r="I1635" s="13" t="str">
        <f>HYPERLINK("http://www.ncbi.nlm.nih.gov/gene/5216", "5216")</f>
        <v>5216</v>
      </c>
      <c r="J1635" s="13" t="str">
        <f>HYPERLINK("http://www.ncbi.nlm.nih.gov/nuccore/NM_005022", "NM_005022")</f>
        <v>NM_005022</v>
      </c>
      <c r="K1635" s="12" t="s">
        <v>10420</v>
      </c>
      <c r="L1635" s="13" t="str">
        <f>HYPERLINK("http://asia.ensembl.org/Homo_sapiens/Gene/Summary?g=ENSG00000108518", "ENSG00000108518")</f>
        <v>ENSG00000108518</v>
      </c>
      <c r="M1635" s="12" t="s">
        <v>19732</v>
      </c>
      <c r="N1635" s="12" t="s">
        <v>19733</v>
      </c>
    </row>
    <row r="1636" spans="1:14">
      <c r="A1636" s="12" t="s">
        <v>734</v>
      </c>
      <c r="B1636" s="8">
        <v>7248.2588971359301</v>
      </c>
      <c r="C1636" s="12">
        <v>14823.935463485701</v>
      </c>
      <c r="D1636" s="8">
        <v>-1.0322221133090299</v>
      </c>
      <c r="E1636" s="12">
        <v>4.8173078060725896E-3</v>
      </c>
      <c r="F1636" s="8" t="s">
        <v>735</v>
      </c>
      <c r="G1636" s="12" t="s">
        <v>736</v>
      </c>
      <c r="H1636" s="12">
        <v>1</v>
      </c>
      <c r="I1636" s="13" t="str">
        <f>HYPERLINK("http://www.ncbi.nlm.nih.gov/gene/85025", "85025")</f>
        <v>85025</v>
      </c>
      <c r="J1636" s="13" t="str">
        <f>HYPERLINK("http://www.ncbi.nlm.nih.gov/nuccore/NM_032936", "NM_032936")</f>
        <v>NM_032936</v>
      </c>
      <c r="K1636" s="12" t="s">
        <v>737</v>
      </c>
      <c r="L1636" s="13" t="str">
        <f>HYPERLINK("http://asia.ensembl.org/Homo_sapiens/Gene/Summary?g=ENSG00000135211", "ENSG00000135211")</f>
        <v>ENSG00000135211</v>
      </c>
      <c r="M1636" s="12" t="s">
        <v>738</v>
      </c>
      <c r="N1636" s="12" t="s">
        <v>739</v>
      </c>
    </row>
    <row r="1637" spans="1:14">
      <c r="A1637" s="12" t="s">
        <v>2979</v>
      </c>
      <c r="B1637" s="8">
        <v>6454.5903339138804</v>
      </c>
      <c r="C1637" s="12">
        <v>13199.6573794818</v>
      </c>
      <c r="D1637" s="8">
        <v>-1.0321030451531501</v>
      </c>
      <c r="E1637" s="12">
        <v>1.3045059208143601E-2</v>
      </c>
      <c r="F1637" s="8" t="s">
        <v>2980</v>
      </c>
      <c r="G1637" s="12" t="s">
        <v>2981</v>
      </c>
      <c r="H1637" s="12">
        <v>1</v>
      </c>
      <c r="I1637" s="13" t="str">
        <f>HYPERLINK("http://www.ncbi.nlm.nih.gov/gene/23558", "23558")</f>
        <v>23558</v>
      </c>
      <c r="J1637" s="13" t="str">
        <f>HYPERLINK("http://www.ncbi.nlm.nih.gov/nuccore/NM_012478", "NM_012478")</f>
        <v>NM_012478</v>
      </c>
      <c r="K1637" s="12" t="s">
        <v>2982</v>
      </c>
      <c r="L1637" s="13" t="str">
        <f>HYPERLINK("http://asia.ensembl.org/Homo_sapiens/Gene/Summary?g=ENSG00000132471", "ENSG00000132471")</f>
        <v>ENSG00000132471</v>
      </c>
      <c r="M1637" s="12" t="s">
        <v>17159</v>
      </c>
      <c r="N1637" s="12" t="s">
        <v>17160</v>
      </c>
    </row>
    <row r="1638" spans="1:14">
      <c r="A1638" s="12" t="s">
        <v>1535</v>
      </c>
      <c r="B1638" s="8">
        <v>6435.9451239732398</v>
      </c>
      <c r="C1638" s="12">
        <v>13161.211540111501</v>
      </c>
      <c r="D1638" s="8">
        <v>-1.0320683707096501</v>
      </c>
      <c r="E1638" s="12">
        <v>3.5010768586358999E-3</v>
      </c>
      <c r="F1638" s="8" t="s">
        <v>1536</v>
      </c>
      <c r="G1638" s="12" t="s">
        <v>1537</v>
      </c>
      <c r="H1638" s="12">
        <v>1</v>
      </c>
      <c r="I1638" s="13" t="str">
        <f>HYPERLINK("http://www.ncbi.nlm.nih.gov/gene/572", "572")</f>
        <v>572</v>
      </c>
      <c r="J1638" s="12" t="s">
        <v>16670</v>
      </c>
      <c r="K1638" s="12" t="s">
        <v>16671</v>
      </c>
      <c r="L1638" s="13" t="str">
        <f>HYPERLINK("http://asia.ensembl.org/Homo_sapiens/Gene/Summary?g=ENSG00000002330", "ENSG00000002330")</f>
        <v>ENSG00000002330</v>
      </c>
      <c r="M1638" s="12" t="s">
        <v>16672</v>
      </c>
      <c r="N1638" s="12" t="s">
        <v>16673</v>
      </c>
    </row>
    <row r="1639" spans="1:14">
      <c r="A1639" s="12" t="s">
        <v>8374</v>
      </c>
      <c r="B1639" s="8">
        <v>3975.23041448811</v>
      </c>
      <c r="C1639" s="12">
        <v>8127.8720957083397</v>
      </c>
      <c r="D1639" s="8">
        <v>-1.0318392142097199</v>
      </c>
      <c r="E1639" s="12">
        <v>4.4897750802675796E-3</v>
      </c>
      <c r="F1639" s="8" t="s">
        <v>1279</v>
      </c>
      <c r="G1639" s="12" t="s">
        <v>1280</v>
      </c>
      <c r="H1639" s="12">
        <v>1</v>
      </c>
      <c r="I1639" s="13" t="str">
        <f>HYPERLINK("http://www.ncbi.nlm.nih.gov/gene/28957", "28957")</f>
        <v>28957</v>
      </c>
      <c r="J1639" s="13" t="str">
        <f>HYPERLINK("http://www.ncbi.nlm.nih.gov/nuccore/NM_014018", "NM_014018")</f>
        <v>NM_014018</v>
      </c>
      <c r="K1639" s="12" t="s">
        <v>1281</v>
      </c>
      <c r="L1639" s="13" t="str">
        <f>HYPERLINK("http://asia.ensembl.org/Homo_sapiens/Gene/Summary?g=ENSG00000147586", "ENSG00000147586")</f>
        <v>ENSG00000147586</v>
      </c>
      <c r="M1639" s="12" t="s">
        <v>18809</v>
      </c>
      <c r="N1639" s="12" t="s">
        <v>18810</v>
      </c>
    </row>
    <row r="1640" spans="1:14">
      <c r="A1640" s="12" t="s">
        <v>3157</v>
      </c>
      <c r="B1640" s="8">
        <v>512.39819369733198</v>
      </c>
      <c r="C1640" s="12">
        <v>1047.21097640829</v>
      </c>
      <c r="D1640" s="8">
        <v>-1.03121482915235</v>
      </c>
      <c r="E1640" s="12">
        <v>1.4448102398132499E-3</v>
      </c>
      <c r="F1640" s="8" t="s">
        <v>3158</v>
      </c>
      <c r="G1640" s="12" t="s">
        <v>3159</v>
      </c>
      <c r="H1640" s="12">
        <v>1</v>
      </c>
      <c r="I1640" s="13" t="str">
        <f>HYPERLINK("http://www.ncbi.nlm.nih.gov/gene/255374", "255374")</f>
        <v>255374</v>
      </c>
      <c r="J1640" s="13" t="str">
        <f>HYPERLINK("http://www.ncbi.nlm.nih.gov/nuccore/NM_203397", "NM_203397")</f>
        <v>NM_203397</v>
      </c>
      <c r="K1640" s="12" t="s">
        <v>3160</v>
      </c>
      <c r="L1640" s="13" t="str">
        <f>HYPERLINK("http://asia.ensembl.org/Homo_sapiens/Gene/Summary?g=ENSG00000214309", "ENSG00000214309")</f>
        <v>ENSG00000214309</v>
      </c>
      <c r="M1640" s="12" t="s">
        <v>17224</v>
      </c>
      <c r="N1640" s="12" t="s">
        <v>17225</v>
      </c>
    </row>
    <row r="1641" spans="1:14">
      <c r="A1641" s="12" t="s">
        <v>8212</v>
      </c>
      <c r="B1641" s="8">
        <v>42617.501908127197</v>
      </c>
      <c r="C1641" s="12">
        <v>87090.895097122004</v>
      </c>
      <c r="D1641" s="8">
        <v>-1.0310758706378</v>
      </c>
      <c r="E1641" s="12">
        <v>7.8741153317749297E-3</v>
      </c>
      <c r="F1641" s="8" t="s">
        <v>7953</v>
      </c>
      <c r="G1641" s="12" t="s">
        <v>7954</v>
      </c>
      <c r="H1641" s="12">
        <v>1</v>
      </c>
      <c r="I1641" s="13" t="str">
        <f>HYPERLINK("http://www.ncbi.nlm.nih.gov/gene/6633", "6633")</f>
        <v>6633</v>
      </c>
      <c r="J1641" s="12" t="s">
        <v>18685</v>
      </c>
      <c r="K1641" s="12" t="s">
        <v>18686</v>
      </c>
      <c r="L1641" s="13" t="str">
        <f>HYPERLINK("http://asia.ensembl.org/Homo_sapiens/Gene/Summary?g=ENSG00000125743", "ENSG00000125743")</f>
        <v>ENSG00000125743</v>
      </c>
      <c r="M1641" s="12" t="s">
        <v>18687</v>
      </c>
      <c r="N1641" s="12" t="s">
        <v>18688</v>
      </c>
    </row>
    <row r="1642" spans="1:14">
      <c r="A1642" s="12" t="s">
        <v>8926</v>
      </c>
      <c r="B1642" s="8">
        <v>536.19784885554805</v>
      </c>
      <c r="C1642" s="12">
        <v>1095.58060515378</v>
      </c>
      <c r="D1642" s="8">
        <v>-1.03085829506673</v>
      </c>
      <c r="E1642" s="12">
        <v>4.1514820729479703E-3</v>
      </c>
      <c r="F1642" s="8" t="s">
        <v>5296</v>
      </c>
      <c r="G1642" s="12" t="s">
        <v>5297</v>
      </c>
      <c r="H1642" s="12">
        <v>1</v>
      </c>
      <c r="I1642" s="13" t="str">
        <f>HYPERLINK("http://www.ncbi.nlm.nih.gov/gene/9802", "9802")</f>
        <v>9802</v>
      </c>
      <c r="J1642" s="13" t="str">
        <f>HYPERLINK("http://www.ncbi.nlm.nih.gov/nuccore/NM_001136269", "NM_001136269")</f>
        <v>NM_001136269</v>
      </c>
      <c r="K1642" s="12" t="s">
        <v>8927</v>
      </c>
      <c r="L1642" s="13" t="str">
        <f>HYPERLINK("http://asia.ensembl.org/Homo_sapiens/Gene/Summary?g=ENSG00000183283", "ENSG00000183283")</f>
        <v>ENSG00000183283</v>
      </c>
      <c r="M1642" s="12" t="s">
        <v>19021</v>
      </c>
      <c r="N1642" s="12" t="s">
        <v>19022</v>
      </c>
    </row>
    <row r="1643" spans="1:14">
      <c r="A1643" s="12" t="s">
        <v>11311</v>
      </c>
      <c r="B1643" s="8">
        <v>19059.288810144899</v>
      </c>
      <c r="C1643" s="12">
        <v>38929.125025631402</v>
      </c>
      <c r="D1643" s="8">
        <v>-1.0303556322565399</v>
      </c>
      <c r="E1643" s="12">
        <v>1.9465892724948301E-4</v>
      </c>
      <c r="F1643" s="8" t="s">
        <v>4748</v>
      </c>
      <c r="G1643" s="12" t="s">
        <v>4749</v>
      </c>
      <c r="H1643" s="12">
        <v>1</v>
      </c>
      <c r="I1643" s="13" t="str">
        <f>HYPERLINK("http://www.ncbi.nlm.nih.gov/gene/55268", "55268")</f>
        <v>55268</v>
      </c>
      <c r="J1643" s="12" t="s">
        <v>20058</v>
      </c>
      <c r="K1643" s="12" t="s">
        <v>20059</v>
      </c>
      <c r="L1643" s="13" t="str">
        <f>HYPERLINK("http://asia.ensembl.org/Homo_sapiens/Gene/Summary?g=ENSG00000121310", "ENSG00000121310")</f>
        <v>ENSG00000121310</v>
      </c>
      <c r="M1643" s="12" t="s">
        <v>20060</v>
      </c>
      <c r="N1643" s="12" t="s">
        <v>20061</v>
      </c>
    </row>
    <row r="1644" spans="1:14">
      <c r="A1644" s="12" t="s">
        <v>4620</v>
      </c>
      <c r="B1644" s="8">
        <v>2254.7538370846</v>
      </c>
      <c r="C1644" s="12">
        <v>4605.0208328988901</v>
      </c>
      <c r="D1644" s="8">
        <v>-1.03023774727517</v>
      </c>
      <c r="E1644" s="12">
        <v>1.6279006408612299E-2</v>
      </c>
      <c r="F1644" s="8" t="s">
        <v>4621</v>
      </c>
      <c r="G1644" s="12" t="s">
        <v>4622</v>
      </c>
      <c r="H1644" s="12">
        <v>1</v>
      </c>
      <c r="I1644" s="13" t="str">
        <f>HYPERLINK("http://www.ncbi.nlm.nih.gov/gene/10519", "10519")</f>
        <v>10519</v>
      </c>
      <c r="J1644" s="13" t="str">
        <f>HYPERLINK("http://www.ncbi.nlm.nih.gov/nuccore/NM_006384", "NM_006384")</f>
        <v>NM_006384</v>
      </c>
      <c r="K1644" s="12" t="s">
        <v>4623</v>
      </c>
      <c r="L1644" s="13" t="str">
        <f>HYPERLINK("http://asia.ensembl.org/Homo_sapiens/Gene/Summary?g=ENSG00000185043", "ENSG00000185043")</f>
        <v>ENSG00000185043</v>
      </c>
      <c r="M1644" s="12" t="s">
        <v>17718</v>
      </c>
      <c r="N1644" s="12" t="s">
        <v>17719</v>
      </c>
    </row>
    <row r="1645" spans="1:14">
      <c r="A1645" s="12" t="s">
        <v>11114</v>
      </c>
      <c r="B1645" s="8">
        <v>2315.70184205633</v>
      </c>
      <c r="C1645" s="12">
        <v>4729.1997686056902</v>
      </c>
      <c r="D1645" s="8">
        <v>-1.0301465734817401</v>
      </c>
      <c r="E1645" s="12">
        <v>8.9259666861933509E-3</v>
      </c>
      <c r="F1645" s="8" t="s">
        <v>6445</v>
      </c>
      <c r="G1645" s="12" t="s">
        <v>18168</v>
      </c>
      <c r="H1645" s="12">
        <v>1</v>
      </c>
      <c r="I1645" s="13" t="str">
        <f>HYPERLINK("http://www.ncbi.nlm.nih.gov/gene/51106", "51106")</f>
        <v>51106</v>
      </c>
      <c r="J1645" s="13" t="str">
        <f>HYPERLINK("http://www.ncbi.nlm.nih.gov/nuccore/NM_016020", "NM_016020")</f>
        <v>NM_016020</v>
      </c>
      <c r="K1645" s="12" t="s">
        <v>6446</v>
      </c>
      <c r="L1645" s="13" t="str">
        <f>HYPERLINK("http://asia.ensembl.org/Homo_sapiens/Gene/Summary?g=ENSG00000029639", "ENSG00000029639")</f>
        <v>ENSG00000029639</v>
      </c>
      <c r="M1645" s="12" t="s">
        <v>18169</v>
      </c>
      <c r="N1645" s="12" t="s">
        <v>6447</v>
      </c>
    </row>
    <row r="1646" spans="1:14">
      <c r="A1646" s="12" t="s">
        <v>1681</v>
      </c>
      <c r="B1646" s="8">
        <v>4930.3548834028597</v>
      </c>
      <c r="C1646" s="12">
        <v>10067.049938067399</v>
      </c>
      <c r="D1646" s="8">
        <v>-1.02987757636456</v>
      </c>
      <c r="E1646" s="12">
        <v>9.0950512481062593E-3</v>
      </c>
      <c r="F1646" s="8" t="s">
        <v>1682</v>
      </c>
      <c r="G1646" s="12" t="s">
        <v>1683</v>
      </c>
      <c r="H1646" s="12">
        <v>1</v>
      </c>
      <c r="I1646" s="13" t="str">
        <f>HYPERLINK("http://www.ncbi.nlm.nih.gov/gene/51642", "51642")</f>
        <v>51642</v>
      </c>
      <c r="J1646" s="13" t="str">
        <f>HYPERLINK("http://www.ncbi.nlm.nih.gov/nuccore/NM_016055", "NM_016055")</f>
        <v>NM_016055</v>
      </c>
      <c r="K1646" s="12" t="s">
        <v>1684</v>
      </c>
      <c r="L1646" s="13" t="str">
        <f>HYPERLINK("http://asia.ensembl.org/Homo_sapiens/Gene/Summary?g=ENSG00000175581", "ENSG00000175581")</f>
        <v>ENSG00000175581</v>
      </c>
      <c r="M1646" s="12" t="s">
        <v>16754</v>
      </c>
      <c r="N1646" s="12" t="s">
        <v>16755</v>
      </c>
    </row>
    <row r="1647" spans="1:14">
      <c r="A1647" s="12" t="s">
        <v>1491</v>
      </c>
      <c r="B1647" s="8">
        <v>43283.791918938703</v>
      </c>
      <c r="C1647" s="12">
        <v>88361.477683221296</v>
      </c>
      <c r="D1647" s="8">
        <v>-1.0295906519046301</v>
      </c>
      <c r="E1647" s="12">
        <v>9.1253833682368706E-3</v>
      </c>
      <c r="F1647" s="8" t="s">
        <v>1492</v>
      </c>
      <c r="G1647" s="12" t="s">
        <v>16651</v>
      </c>
      <c r="H1647" s="12">
        <v>1</v>
      </c>
      <c r="I1647" s="13" t="str">
        <f>HYPERLINK("http://www.ncbi.nlm.nih.gov/gene/4190", "4190")</f>
        <v>4190</v>
      </c>
      <c r="J1647" s="12" t="s">
        <v>16652</v>
      </c>
      <c r="K1647" s="12" t="s">
        <v>16653</v>
      </c>
      <c r="L1647" s="13" t="str">
        <f>HYPERLINK("http://asia.ensembl.org/Homo_sapiens/Gene/Summary?g=ENSG00000014641", "ENSG00000014641")</f>
        <v>ENSG00000014641</v>
      </c>
      <c r="M1647" s="12" t="s">
        <v>16654</v>
      </c>
      <c r="N1647" s="12" t="s">
        <v>16655</v>
      </c>
    </row>
    <row r="1648" spans="1:14">
      <c r="A1648" s="12" t="s">
        <v>1736</v>
      </c>
      <c r="B1648" s="8">
        <v>47020.687328741697</v>
      </c>
      <c r="C1648" s="12">
        <v>95987.556760955602</v>
      </c>
      <c r="D1648" s="8">
        <v>-1.0295517679469099</v>
      </c>
      <c r="E1648" s="12">
        <v>8.1048849863161604E-3</v>
      </c>
      <c r="F1648" s="8" t="s">
        <v>1737</v>
      </c>
      <c r="G1648" s="12" t="s">
        <v>286</v>
      </c>
      <c r="H1648" s="12">
        <v>1</v>
      </c>
      <c r="I1648" s="13" t="str">
        <f>HYPERLINK("http://www.ncbi.nlm.nih.gov/gene/4717", "4717")</f>
        <v>4717</v>
      </c>
      <c r="J1648" s="12" t="s">
        <v>16776</v>
      </c>
      <c r="K1648" s="12" t="s">
        <v>16777</v>
      </c>
      <c r="L1648" s="13" t="str">
        <f>HYPERLINK("http://asia.ensembl.org/Homo_sapiens/Gene/Summary?g=ENSG00000109390", "ENSG00000109390")</f>
        <v>ENSG00000109390</v>
      </c>
      <c r="M1648" s="12" t="s">
        <v>16778</v>
      </c>
      <c r="N1648" s="12" t="s">
        <v>16779</v>
      </c>
    </row>
    <row r="1649" spans="1:14">
      <c r="A1649" s="12" t="s">
        <v>10250</v>
      </c>
      <c r="B1649" s="8">
        <v>67210.770776291101</v>
      </c>
      <c r="C1649" s="12">
        <v>137178.38561941401</v>
      </c>
      <c r="D1649" s="8">
        <v>-1.0292888286624899</v>
      </c>
      <c r="E1649" s="12">
        <v>9.1629674533089105E-3</v>
      </c>
      <c r="F1649" s="8" t="s">
        <v>10251</v>
      </c>
      <c r="G1649" s="12" t="s">
        <v>10252</v>
      </c>
      <c r="H1649" s="12">
        <v>1</v>
      </c>
      <c r="I1649" s="13" t="str">
        <f>HYPERLINK("http://www.ncbi.nlm.nih.gov/gene/3094", "3094")</f>
        <v>3094</v>
      </c>
      <c r="J1649" s="12" t="s">
        <v>19627</v>
      </c>
      <c r="K1649" s="12" t="s">
        <v>19628</v>
      </c>
      <c r="L1649" s="13" t="str">
        <f>HYPERLINK("http://asia.ensembl.org/Homo_sapiens/Gene/Summary?g=ENSG00000169567", "ENSG00000169567")</f>
        <v>ENSG00000169567</v>
      </c>
      <c r="M1649" s="12" t="s">
        <v>19629</v>
      </c>
      <c r="N1649" s="12" t="s">
        <v>19630</v>
      </c>
    </row>
    <row r="1650" spans="1:14">
      <c r="A1650" s="12" t="s">
        <v>1644</v>
      </c>
      <c r="B1650" s="8">
        <v>370.49739234031199</v>
      </c>
      <c r="C1650" s="12">
        <v>755.94868121463196</v>
      </c>
      <c r="D1650" s="8">
        <v>-1.02882490961666</v>
      </c>
      <c r="E1650" s="12">
        <v>3.32818626965493E-2</v>
      </c>
      <c r="F1650" s="8" t="s">
        <v>1645</v>
      </c>
      <c r="G1650" s="12" t="s">
        <v>1646</v>
      </c>
      <c r="H1650" s="12">
        <v>1</v>
      </c>
      <c r="I1650" s="13" t="str">
        <f>HYPERLINK("http://www.ncbi.nlm.nih.gov/gene/5121", "5121")</f>
        <v>5121</v>
      </c>
      <c r="J1650" s="13" t="str">
        <f>HYPERLINK("http://www.ncbi.nlm.nih.gov/nuccore/NM_006198", "NM_006198")</f>
        <v>NM_006198</v>
      </c>
      <c r="K1650" s="12" t="s">
        <v>1647</v>
      </c>
      <c r="L1650" s="13" t="str">
        <f>HYPERLINK("http://asia.ensembl.org/Homo_sapiens/Gene/Summary?g=ENSG00000183036", "ENSG00000183036")</f>
        <v>ENSG00000183036</v>
      </c>
      <c r="M1650" s="12" t="s">
        <v>16727</v>
      </c>
      <c r="N1650" s="12" t="s">
        <v>16728</v>
      </c>
    </row>
    <row r="1651" spans="1:14">
      <c r="A1651" s="12" t="s">
        <v>9941</v>
      </c>
      <c r="B1651" s="8">
        <v>2066.42854567534</v>
      </c>
      <c r="C1651" s="12">
        <v>4215.7213888852702</v>
      </c>
      <c r="D1651" s="8">
        <v>-1.0286400463160801</v>
      </c>
      <c r="E1651" s="12">
        <v>1.0612558900145201E-2</v>
      </c>
      <c r="F1651" s="8" t="s">
        <v>6876</v>
      </c>
      <c r="G1651" s="12" t="s">
        <v>6877</v>
      </c>
      <c r="H1651" s="12">
        <v>1</v>
      </c>
      <c r="I1651" s="13" t="str">
        <f>HYPERLINK("http://www.ncbi.nlm.nih.gov/gene/23245", "23245")</f>
        <v>23245</v>
      </c>
      <c r="J1651" s="12" t="s">
        <v>19450</v>
      </c>
      <c r="K1651" s="12" t="s">
        <v>19451</v>
      </c>
      <c r="L1651" s="13" t="str">
        <f>HYPERLINK("http://asia.ensembl.org/Homo_sapiens/Gene/Summary?g=ENSG00000148219", "ENSG00000148219")</f>
        <v>ENSG00000148219</v>
      </c>
      <c r="M1651" s="12" t="s">
        <v>19452</v>
      </c>
      <c r="N1651" s="12" t="s">
        <v>19453</v>
      </c>
    </row>
    <row r="1652" spans="1:14">
      <c r="A1652" s="12" t="s">
        <v>1454</v>
      </c>
      <c r="B1652" s="8">
        <v>5167.1402272259202</v>
      </c>
      <c r="C1652" s="12">
        <v>10540.8049486987</v>
      </c>
      <c r="D1652" s="8">
        <v>-1.0285471009579401</v>
      </c>
      <c r="E1652" s="12">
        <v>7.8578765760805303E-3</v>
      </c>
      <c r="F1652" s="8" t="s">
        <v>1455</v>
      </c>
      <c r="G1652" s="12" t="s">
        <v>1456</v>
      </c>
      <c r="H1652" s="12">
        <v>1</v>
      </c>
      <c r="I1652" s="13" t="str">
        <f>HYPERLINK("http://www.ncbi.nlm.nih.gov/gene/2184", "2184")</f>
        <v>2184</v>
      </c>
      <c r="J1652" s="13" t="str">
        <f>HYPERLINK("http://www.ncbi.nlm.nih.gov/nuccore/NM_000137", "NM_000137")</f>
        <v>NM_000137</v>
      </c>
      <c r="K1652" s="12" t="s">
        <v>1457</v>
      </c>
      <c r="L1652" s="13" t="str">
        <f>HYPERLINK("http://asia.ensembl.org/Homo_sapiens/Gene/Summary?g=ENSG00000103876", "ENSG00000103876")</f>
        <v>ENSG00000103876</v>
      </c>
      <c r="M1652" s="12" t="s">
        <v>16636</v>
      </c>
      <c r="N1652" s="12" t="s">
        <v>16637</v>
      </c>
    </row>
    <row r="1653" spans="1:14">
      <c r="A1653" s="12" t="s">
        <v>1208</v>
      </c>
      <c r="B1653" s="8">
        <v>45134.033323833602</v>
      </c>
      <c r="C1653" s="12">
        <v>92058.946214477197</v>
      </c>
      <c r="D1653" s="8">
        <v>-1.0283422201069301</v>
      </c>
      <c r="E1653" s="12">
        <v>6.7825438360997799E-3</v>
      </c>
      <c r="F1653" s="8" t="s">
        <v>1209</v>
      </c>
      <c r="G1653" s="12" t="s">
        <v>104</v>
      </c>
      <c r="H1653" s="12">
        <v>1</v>
      </c>
      <c r="I1653" s="13" t="str">
        <f>HYPERLINK("http://www.ncbi.nlm.nih.gov/gene/5435", "5435")</f>
        <v>5435</v>
      </c>
      <c r="J1653" s="13" t="str">
        <f>HYPERLINK("http://www.ncbi.nlm.nih.gov/nuccore/NM_021974", "NM_021974")</f>
        <v>NM_021974</v>
      </c>
      <c r="K1653" s="12" t="s">
        <v>1210</v>
      </c>
      <c r="L1653" s="13" t="str">
        <f>HYPERLINK("http://asia.ensembl.org/Homo_sapiens/Gene/Summary?g=ENSG00000100142", "ENSG00000100142")</f>
        <v>ENSG00000100142</v>
      </c>
      <c r="M1653" s="12" t="s">
        <v>16537</v>
      </c>
      <c r="N1653" s="12" t="s">
        <v>16538</v>
      </c>
    </row>
    <row r="1654" spans="1:14">
      <c r="A1654" s="12" t="s">
        <v>5827</v>
      </c>
      <c r="B1654" s="8">
        <v>2085.2910991660201</v>
      </c>
      <c r="C1654" s="12">
        <v>4252.5583730967001</v>
      </c>
      <c r="D1654" s="8">
        <v>-1.0280822465113</v>
      </c>
      <c r="E1654" s="12">
        <v>6.2949719063296397E-4</v>
      </c>
      <c r="F1654" s="8" t="s">
        <v>5828</v>
      </c>
      <c r="G1654" s="12" t="s">
        <v>17980</v>
      </c>
      <c r="H1654" s="12">
        <v>1</v>
      </c>
      <c r="I1654" s="13" t="str">
        <f>HYPERLINK("http://www.ncbi.nlm.nih.gov/gene/3860", "3860")</f>
        <v>3860</v>
      </c>
      <c r="J1654" s="12" t="s">
        <v>17981</v>
      </c>
      <c r="K1654" s="12" t="s">
        <v>17982</v>
      </c>
      <c r="L1654" s="13" t="str">
        <f>HYPERLINK("http://asia.ensembl.org/Homo_sapiens/Gene/Summary?g=ENSG00000171401", "ENSG00000171401")</f>
        <v>ENSG00000171401</v>
      </c>
      <c r="M1654" s="12" t="s">
        <v>17983</v>
      </c>
      <c r="N1654" s="12" t="s">
        <v>17984</v>
      </c>
    </row>
    <row r="1655" spans="1:14">
      <c r="A1655" s="12" t="s">
        <v>262</v>
      </c>
      <c r="B1655" s="8">
        <v>2232.3749475249401</v>
      </c>
      <c r="C1655" s="12">
        <v>4551.9283164565804</v>
      </c>
      <c r="D1655" s="8">
        <v>-1.0278984771581401</v>
      </c>
      <c r="E1655" s="12">
        <v>4.2706425074503099E-3</v>
      </c>
      <c r="F1655" s="8" t="s">
        <v>263</v>
      </c>
      <c r="G1655" s="12" t="s">
        <v>15570</v>
      </c>
      <c r="H1655" s="12">
        <v>1</v>
      </c>
      <c r="I1655" s="13" t="str">
        <f>HYPERLINK("http://www.ncbi.nlm.nih.gov/gene/8624", "8624")</f>
        <v>8624</v>
      </c>
      <c r="J1655" s="12" t="s">
        <v>16298</v>
      </c>
      <c r="K1655" s="12" t="s">
        <v>16299</v>
      </c>
      <c r="L1655" s="13" t="str">
        <f>HYPERLINK("http://asia.ensembl.org/Homo_sapiens/Gene/Summary?g=ENSG00000183527", "ENSG00000183527")</f>
        <v>ENSG00000183527</v>
      </c>
      <c r="M1655" s="12" t="s">
        <v>16300</v>
      </c>
      <c r="N1655" s="12" t="s">
        <v>16301</v>
      </c>
    </row>
    <row r="1656" spans="1:14">
      <c r="A1656" s="12" t="s">
        <v>2647</v>
      </c>
      <c r="B1656" s="8">
        <v>2966.0140147400298</v>
      </c>
      <c r="C1656" s="12">
        <v>6046.18103556401</v>
      </c>
      <c r="D1656" s="8">
        <v>-1.0274987622806599</v>
      </c>
      <c r="E1656" s="12">
        <v>1.5044974513858301E-2</v>
      </c>
      <c r="F1656" s="8" t="s">
        <v>2648</v>
      </c>
      <c r="G1656" s="12" t="s">
        <v>17052</v>
      </c>
      <c r="H1656" s="12">
        <v>1</v>
      </c>
      <c r="I1656" s="13" t="str">
        <f>HYPERLINK("http://www.ncbi.nlm.nih.gov/gene/8409", "8409")</f>
        <v>8409</v>
      </c>
      <c r="J1656" s="12" t="s">
        <v>17053</v>
      </c>
      <c r="K1656" s="12" t="s">
        <v>17054</v>
      </c>
      <c r="L1656" s="13" t="str">
        <f>HYPERLINK("http://asia.ensembl.org/Homo_sapiens/Gene/Summary?g=ENSG00000126756", "ENSG00000126756")</f>
        <v>ENSG00000126756</v>
      </c>
      <c r="M1656" s="12" t="s">
        <v>17055</v>
      </c>
      <c r="N1656" s="12" t="s">
        <v>17056</v>
      </c>
    </row>
    <row r="1657" spans="1:14">
      <c r="A1657" s="12" t="s">
        <v>8571</v>
      </c>
      <c r="B1657" s="8">
        <v>1455.1896589645401</v>
      </c>
      <c r="C1657" s="12">
        <v>2966.0029561825399</v>
      </c>
      <c r="D1657" s="8">
        <v>-1.0273128398178599</v>
      </c>
      <c r="E1657" s="12">
        <v>1.4588181838753799E-2</v>
      </c>
      <c r="F1657" s="8" t="s">
        <v>6033</v>
      </c>
      <c r="G1657" s="12" t="s">
        <v>6034</v>
      </c>
      <c r="H1657" s="12">
        <v>1</v>
      </c>
      <c r="I1657" s="13" t="str">
        <f>HYPERLINK("http://www.ncbi.nlm.nih.gov/gene/9212", "9212")</f>
        <v>9212</v>
      </c>
      <c r="J1657" s="12" t="s">
        <v>18037</v>
      </c>
      <c r="K1657" s="12" t="s">
        <v>18038</v>
      </c>
      <c r="L1657" s="13" t="str">
        <f>HYPERLINK("http://asia.ensembl.org/Homo_sapiens/Gene/Summary?g=ENSG00000178999", "ENSG00000178999")</f>
        <v>ENSG00000178999</v>
      </c>
      <c r="M1657" s="12" t="s">
        <v>18039</v>
      </c>
      <c r="N1657" s="12" t="s">
        <v>18040</v>
      </c>
    </row>
    <row r="1658" spans="1:14">
      <c r="A1658" s="12" t="s">
        <v>11544</v>
      </c>
      <c r="B1658" s="8">
        <v>5867.98306152041</v>
      </c>
      <c r="C1658" s="12">
        <v>11959.981170193299</v>
      </c>
      <c r="D1658" s="8">
        <v>-1.02727850650089</v>
      </c>
      <c r="E1658" s="12">
        <v>1.6791879868344399E-2</v>
      </c>
      <c r="F1658" s="8" t="s">
        <v>11545</v>
      </c>
      <c r="G1658" s="12" t="s">
        <v>11546</v>
      </c>
      <c r="H1658" s="12">
        <v>1</v>
      </c>
      <c r="I1658" s="13" t="str">
        <f>HYPERLINK("http://www.ncbi.nlm.nih.gov/gene/100463487", "100463487")</f>
        <v>100463487</v>
      </c>
      <c r="J1658" s="13" t="str">
        <f>HYPERLINK("http://www.ncbi.nlm.nih.gov/nuccore/NM_001190706", "NM_001190706")</f>
        <v>NM_001190706</v>
      </c>
      <c r="K1658" s="12" t="s">
        <v>11547</v>
      </c>
      <c r="L1658" s="12" t="s">
        <v>38</v>
      </c>
      <c r="M1658" s="12" t="s">
        <v>38</v>
      </c>
      <c r="N1658" s="12" t="s">
        <v>38</v>
      </c>
    </row>
    <row r="1659" spans="1:14">
      <c r="A1659" s="12" t="s">
        <v>9591</v>
      </c>
      <c r="B1659" s="8">
        <v>9398.2081144657895</v>
      </c>
      <c r="C1659" s="12">
        <v>19154.3299624834</v>
      </c>
      <c r="D1659" s="8">
        <v>-1.02721293940868</v>
      </c>
      <c r="E1659" s="12">
        <v>6.7747950087769003E-3</v>
      </c>
      <c r="F1659" s="8" t="s">
        <v>9592</v>
      </c>
      <c r="G1659" s="12" t="s">
        <v>9593</v>
      </c>
      <c r="H1659" s="12">
        <v>1</v>
      </c>
      <c r="I1659" s="13" t="str">
        <f>HYPERLINK("http://www.ncbi.nlm.nih.gov/gene/116228", "116228")</f>
        <v>116228</v>
      </c>
      <c r="J1659" s="13" t="str">
        <f>HYPERLINK("http://www.ncbi.nlm.nih.gov/nuccore/NM_198076", "NM_198076")</f>
        <v>NM_198076</v>
      </c>
      <c r="K1659" s="12" t="s">
        <v>9594</v>
      </c>
      <c r="L1659" s="13" t="str">
        <f>HYPERLINK("http://asia.ensembl.org/Homo_sapiens/Gene/Summary?g=ENSG00000203667", "ENSG00000203667")</f>
        <v>ENSG00000203667</v>
      </c>
      <c r="M1659" s="12" t="s">
        <v>19206</v>
      </c>
      <c r="N1659" s="12" t="s">
        <v>19207</v>
      </c>
    </row>
    <row r="1660" spans="1:14">
      <c r="A1660" s="12" t="s">
        <v>8168</v>
      </c>
      <c r="B1660" s="8">
        <v>1436.2517116266399</v>
      </c>
      <c r="C1660" s="12">
        <v>2927.1065263455198</v>
      </c>
      <c r="D1660" s="8">
        <v>-1.0271666386026499</v>
      </c>
      <c r="E1660" s="12">
        <v>9.1326294819036608E-3</v>
      </c>
      <c r="F1660" s="8" t="s">
        <v>1733</v>
      </c>
      <c r="G1660" s="12" t="s">
        <v>1734</v>
      </c>
      <c r="H1660" s="12">
        <v>1</v>
      </c>
      <c r="I1660" s="13" t="str">
        <f>HYPERLINK("http://www.ncbi.nlm.nih.gov/gene/84303", "84303")</f>
        <v>84303</v>
      </c>
      <c r="J1660" s="13" t="str">
        <f>HYPERLINK("http://www.ncbi.nlm.nih.gov/nuccore/NM_032343", "NM_032343")</f>
        <v>NM_032343</v>
      </c>
      <c r="K1660" s="12" t="s">
        <v>1735</v>
      </c>
      <c r="L1660" s="13" t="str">
        <f>HYPERLINK("http://asia.ensembl.org/Homo_sapiens/Gene/Summary?g=ENSG00000159685", "ENSG00000159685")</f>
        <v>ENSG00000159685</v>
      </c>
      <c r="M1660" s="12" t="s">
        <v>16774</v>
      </c>
      <c r="N1660" s="12" t="s">
        <v>16775</v>
      </c>
    </row>
    <row r="1661" spans="1:14">
      <c r="A1661" s="12" t="s">
        <v>5456</v>
      </c>
      <c r="B1661" s="8">
        <v>3238.4086296727601</v>
      </c>
      <c r="C1661" s="12">
        <v>6598.0714301499302</v>
      </c>
      <c r="D1661" s="8">
        <v>-1.02675935685242</v>
      </c>
      <c r="E1661" s="12">
        <v>4.9674704526069596E-3</v>
      </c>
      <c r="F1661" s="8" t="s">
        <v>5457</v>
      </c>
      <c r="G1661" s="12" t="s">
        <v>17875</v>
      </c>
      <c r="H1661" s="12">
        <v>1</v>
      </c>
      <c r="I1661" s="13" t="str">
        <f>HYPERLINK("http://www.ncbi.nlm.nih.gov/gene/826", "826")</f>
        <v>826</v>
      </c>
      <c r="J1661" s="12" t="s">
        <v>17876</v>
      </c>
      <c r="K1661" s="12" t="s">
        <v>17877</v>
      </c>
      <c r="L1661" s="13" t="str">
        <f>HYPERLINK("http://asia.ensembl.org/Homo_sapiens/Gene/Summary?g=ENSG00000126247", "ENSG00000126247")</f>
        <v>ENSG00000126247</v>
      </c>
      <c r="M1661" s="12" t="s">
        <v>17878</v>
      </c>
      <c r="N1661" s="12" t="s">
        <v>17879</v>
      </c>
    </row>
    <row r="1662" spans="1:14">
      <c r="A1662" s="12" t="s">
        <v>9693</v>
      </c>
      <c r="B1662" s="8">
        <v>105899.06189074001</v>
      </c>
      <c r="C1662" s="12">
        <v>215758.76110723699</v>
      </c>
      <c r="D1662" s="8">
        <v>-1.02672933347532</v>
      </c>
      <c r="E1662" s="12">
        <v>9.6895748998558507E-3</v>
      </c>
      <c r="F1662" s="8" t="s">
        <v>9694</v>
      </c>
      <c r="G1662" s="12" t="s">
        <v>286</v>
      </c>
      <c r="H1662" s="12">
        <v>1</v>
      </c>
      <c r="I1662" s="13" t="str">
        <f>HYPERLINK("http://www.ncbi.nlm.nih.gov/gene/54539", "54539")</f>
        <v>54539</v>
      </c>
      <c r="J1662" s="12" t="s">
        <v>19263</v>
      </c>
      <c r="K1662" s="12" t="s">
        <v>19264</v>
      </c>
      <c r="L1662" s="13" t="str">
        <f>HYPERLINK("http://asia.ensembl.org/Homo_sapiens/Gene/Summary?g=ENSG00000147123", "ENSG00000147123")</f>
        <v>ENSG00000147123</v>
      </c>
      <c r="M1662" s="12" t="s">
        <v>19265</v>
      </c>
      <c r="N1662" s="12" t="s">
        <v>19266</v>
      </c>
    </row>
    <row r="1663" spans="1:14">
      <c r="A1663" s="12" t="s">
        <v>1555</v>
      </c>
      <c r="B1663" s="8">
        <v>47887.915410773501</v>
      </c>
      <c r="C1663" s="12">
        <v>97526.527942748697</v>
      </c>
      <c r="D1663" s="8">
        <v>-1.02613306047675</v>
      </c>
      <c r="E1663" s="12">
        <v>2.6981049863637899E-3</v>
      </c>
      <c r="F1663" s="8" t="s">
        <v>1556</v>
      </c>
      <c r="G1663" s="12" t="s">
        <v>16682</v>
      </c>
      <c r="H1663" s="12">
        <v>1</v>
      </c>
      <c r="I1663" s="13" t="str">
        <f>HYPERLINK("http://www.ncbi.nlm.nih.gov/gene/25804", "25804")</f>
        <v>25804</v>
      </c>
      <c r="J1663" s="12" t="s">
        <v>16683</v>
      </c>
      <c r="K1663" s="12" t="s">
        <v>16684</v>
      </c>
      <c r="L1663" s="13" t="str">
        <f>HYPERLINK("http://asia.ensembl.org/Homo_sapiens/Gene/Summary?g=ENSG00000130520", "ENSG00000130520")</f>
        <v>ENSG00000130520</v>
      </c>
      <c r="M1663" s="12" t="s">
        <v>16685</v>
      </c>
      <c r="N1663" s="12" t="s">
        <v>16686</v>
      </c>
    </row>
    <row r="1664" spans="1:14">
      <c r="A1664" s="12" t="s">
        <v>4054</v>
      </c>
      <c r="B1664" s="8">
        <v>74.336519606701998</v>
      </c>
      <c r="C1664" s="12">
        <v>151.389888223654</v>
      </c>
      <c r="D1664" s="8">
        <v>-1.0261257979549101</v>
      </c>
      <c r="E1664" s="12">
        <v>4.24465767478493E-3</v>
      </c>
      <c r="F1664" s="8" t="s">
        <v>4055</v>
      </c>
      <c r="G1664" s="12" t="s">
        <v>4056</v>
      </c>
      <c r="H1664" s="12">
        <v>1</v>
      </c>
      <c r="I1664" s="13" t="str">
        <f>HYPERLINK("http://www.ncbi.nlm.nih.gov/gene/23546", "23546")</f>
        <v>23546</v>
      </c>
      <c r="J1664" s="13" t="str">
        <f>HYPERLINK("http://www.ncbi.nlm.nih.gov/nuccore/NM_012451", "NM_012451")</f>
        <v>NM_012451</v>
      </c>
      <c r="K1664" s="12" t="s">
        <v>4057</v>
      </c>
      <c r="L1664" s="13" t="str">
        <f>HYPERLINK("http://asia.ensembl.org/Homo_sapiens/Gene/Summary?g=ENSG00000105467", "ENSG00000105467")</f>
        <v>ENSG00000105467</v>
      </c>
      <c r="M1664" s="12" t="s">
        <v>17526</v>
      </c>
      <c r="N1664" s="12" t="s">
        <v>17527</v>
      </c>
    </row>
    <row r="1665" spans="1:14">
      <c r="A1665" s="12" t="s">
        <v>8612</v>
      </c>
      <c r="B1665" s="8">
        <v>25140.330412184401</v>
      </c>
      <c r="C1665" s="12">
        <v>51173.436595134997</v>
      </c>
      <c r="D1665" s="8">
        <v>-1.02539151118705</v>
      </c>
      <c r="E1665" s="12">
        <v>1.2540986018117499E-2</v>
      </c>
      <c r="F1665" s="8" t="s">
        <v>8613</v>
      </c>
      <c r="G1665" s="12" t="s">
        <v>8614</v>
      </c>
      <c r="H1665" s="12">
        <v>1</v>
      </c>
      <c r="I1665" s="13" t="str">
        <f>HYPERLINK("http://www.ncbi.nlm.nih.gov/gene/84833", "84833")</f>
        <v>84833</v>
      </c>
      <c r="J1665" s="12" t="s">
        <v>18931</v>
      </c>
      <c r="K1665" s="12" t="s">
        <v>18932</v>
      </c>
      <c r="L1665" s="13" t="str">
        <f>HYPERLINK("http://asia.ensembl.org/Homo_sapiens/Gene/Summary?g=ENSG00000173915", "ENSG00000173915")</f>
        <v>ENSG00000173915</v>
      </c>
      <c r="M1665" s="12" t="s">
        <v>18933</v>
      </c>
      <c r="N1665" s="12" t="s">
        <v>18934</v>
      </c>
    </row>
    <row r="1666" spans="1:14">
      <c r="A1666" s="12" t="s">
        <v>11521</v>
      </c>
      <c r="B1666" s="8">
        <v>31877.376769260802</v>
      </c>
      <c r="C1666" s="12">
        <v>64871.191834086298</v>
      </c>
      <c r="D1666" s="8">
        <v>-1.0250450317458799</v>
      </c>
      <c r="E1666" s="12">
        <v>1.17759714905829E-2</v>
      </c>
      <c r="F1666" s="8" t="s">
        <v>11522</v>
      </c>
      <c r="G1666" s="12" t="s">
        <v>20130</v>
      </c>
      <c r="H1666" s="12">
        <v>1</v>
      </c>
      <c r="I1666" s="13" t="str">
        <f>HYPERLINK("http://www.ncbi.nlm.nih.gov/gene/26017", "26017")</f>
        <v>26017</v>
      </c>
      <c r="J1666" s="13" t="str">
        <f>HYPERLINK("http://www.ncbi.nlm.nih.gov/nuccore/NM_014077", "NM_014077")</f>
        <v>NM_014077</v>
      </c>
      <c r="K1666" s="12" t="s">
        <v>11523</v>
      </c>
      <c r="L1666" s="13" t="str">
        <f>HYPERLINK("http://asia.ensembl.org/Homo_sapiens/Gene/Summary?g=ENSG00000105058", "ENSG00000105058")</f>
        <v>ENSG00000105058</v>
      </c>
      <c r="M1666" s="12" t="s">
        <v>20131</v>
      </c>
      <c r="N1666" s="12" t="s">
        <v>20132</v>
      </c>
    </row>
    <row r="1667" spans="1:14">
      <c r="A1667" s="12" t="s">
        <v>10467</v>
      </c>
      <c r="B1667" s="8">
        <v>1125.45661252012</v>
      </c>
      <c r="C1667" s="12">
        <v>2290.1502290875501</v>
      </c>
      <c r="D1667" s="8">
        <v>-1.02493179869276</v>
      </c>
      <c r="E1667" s="12">
        <v>4.86324941895315E-3</v>
      </c>
      <c r="F1667" s="8" t="s">
        <v>1737</v>
      </c>
      <c r="G1667" s="12" t="s">
        <v>286</v>
      </c>
      <c r="H1667" s="12">
        <v>1</v>
      </c>
      <c r="I1667" s="13" t="str">
        <f>HYPERLINK("http://www.ncbi.nlm.nih.gov/gene/4717", "4717")</f>
        <v>4717</v>
      </c>
      <c r="J1667" s="12" t="s">
        <v>19750</v>
      </c>
      <c r="K1667" s="12" t="s">
        <v>19751</v>
      </c>
      <c r="L1667" s="13" t="str">
        <f>HYPERLINK("http://asia.ensembl.org/Homo_sapiens/Gene/Summary?g=ENSG00000109390", "ENSG00000109390")</f>
        <v>ENSG00000109390</v>
      </c>
      <c r="M1667" s="12" t="s">
        <v>16778</v>
      </c>
      <c r="N1667" s="12" t="s">
        <v>16779</v>
      </c>
    </row>
    <row r="1668" spans="1:14">
      <c r="A1668" s="12" t="s">
        <v>8528</v>
      </c>
      <c r="B1668" s="8">
        <v>569.02767026936601</v>
      </c>
      <c r="C1668" s="12">
        <v>1157.8160059480099</v>
      </c>
      <c r="D1668" s="8">
        <v>-1.0248352923169799</v>
      </c>
      <c r="E1668" s="12">
        <v>9.7640882146899696E-3</v>
      </c>
      <c r="F1668" s="8" t="s">
        <v>5464</v>
      </c>
      <c r="G1668" s="12" t="s">
        <v>5465</v>
      </c>
      <c r="H1668" s="12">
        <v>1</v>
      </c>
      <c r="I1668" s="13" t="str">
        <f>HYPERLINK("http://www.ncbi.nlm.nih.gov/gene/84281", "84281")</f>
        <v>84281</v>
      </c>
      <c r="J1668" s="12" t="s">
        <v>18874</v>
      </c>
      <c r="K1668" s="12" t="s">
        <v>18875</v>
      </c>
      <c r="L1668" s="13" t="str">
        <f>HYPERLINK("http://asia.ensembl.org/Homo_sapiens/Gene/Summary?g=ENSG00000187699", "ENSG00000187699")</f>
        <v>ENSG00000187699</v>
      </c>
      <c r="M1668" s="12" t="s">
        <v>18876</v>
      </c>
      <c r="N1668" s="12" t="s">
        <v>18877</v>
      </c>
    </row>
    <row r="1669" spans="1:14">
      <c r="A1669" s="12" t="s">
        <v>1612</v>
      </c>
      <c r="B1669" s="8">
        <v>2860.7174516046198</v>
      </c>
      <c r="C1669" s="12">
        <v>5819.2951192016999</v>
      </c>
      <c r="D1669" s="8">
        <v>-1.02446740058709</v>
      </c>
      <c r="E1669" s="12">
        <v>1.66054150698298E-2</v>
      </c>
      <c r="F1669" s="8" t="s">
        <v>1613</v>
      </c>
      <c r="G1669" s="12" t="s">
        <v>1614</v>
      </c>
      <c r="H1669" s="12">
        <v>1</v>
      </c>
      <c r="I1669" s="13" t="str">
        <f>HYPERLINK("http://www.ncbi.nlm.nih.gov/gene/10994", "10994")</f>
        <v>10994</v>
      </c>
      <c r="J1669" s="13" t="str">
        <f>HYPERLINK("http://www.ncbi.nlm.nih.gov/nuccore/NM_006844", "NM_006844")</f>
        <v>NM_006844</v>
      </c>
      <c r="K1669" s="12" t="s">
        <v>1615</v>
      </c>
      <c r="L1669" s="13" t="str">
        <f>HYPERLINK("http://asia.ensembl.org/Homo_sapiens/Gene/Summary?g=ENSG00000105135", "ENSG00000105135")</f>
        <v>ENSG00000105135</v>
      </c>
      <c r="M1669" s="12" t="s">
        <v>16716</v>
      </c>
      <c r="N1669" s="12" t="s">
        <v>16717</v>
      </c>
    </row>
    <row r="1670" spans="1:14">
      <c r="A1670" s="12" t="s">
        <v>1732</v>
      </c>
      <c r="B1670" s="8">
        <v>2352.6763555336502</v>
      </c>
      <c r="C1670" s="12">
        <v>4785.3204007287404</v>
      </c>
      <c r="D1670" s="8">
        <v>-1.02431265270993</v>
      </c>
      <c r="E1670" s="12">
        <v>1.3350488906743699E-3</v>
      </c>
      <c r="F1670" s="8" t="s">
        <v>1733</v>
      </c>
      <c r="G1670" s="12" t="s">
        <v>1734</v>
      </c>
      <c r="H1670" s="12">
        <v>1</v>
      </c>
      <c r="I1670" s="13" t="str">
        <f>HYPERLINK("http://www.ncbi.nlm.nih.gov/gene/84303", "84303")</f>
        <v>84303</v>
      </c>
      <c r="J1670" s="13" t="str">
        <f>HYPERLINK("http://www.ncbi.nlm.nih.gov/nuccore/NM_032343", "NM_032343")</f>
        <v>NM_032343</v>
      </c>
      <c r="K1670" s="12" t="s">
        <v>1735</v>
      </c>
      <c r="L1670" s="13" t="str">
        <f>HYPERLINK("http://asia.ensembl.org/Homo_sapiens/Gene/Summary?g=ENSG00000159685", "ENSG00000159685")</f>
        <v>ENSG00000159685</v>
      </c>
      <c r="M1670" s="12" t="s">
        <v>16774</v>
      </c>
      <c r="N1670" s="12" t="s">
        <v>16775</v>
      </c>
    </row>
    <row r="1671" spans="1:14">
      <c r="A1671" s="12" t="s">
        <v>8361</v>
      </c>
      <c r="B1671" s="8">
        <v>19722.568569379098</v>
      </c>
      <c r="C1671" s="12">
        <v>40101.372665627001</v>
      </c>
      <c r="D1671" s="8">
        <v>-1.0238041674310101</v>
      </c>
      <c r="E1671" s="12">
        <v>2.51884782691125E-2</v>
      </c>
      <c r="F1671" s="8" t="s">
        <v>6549</v>
      </c>
      <c r="G1671" s="12" t="s">
        <v>3064</v>
      </c>
      <c r="H1671" s="12">
        <v>1</v>
      </c>
      <c r="I1671" s="13" t="str">
        <f>HYPERLINK("http://www.ncbi.nlm.nih.gov/gene/56655", "56655")</f>
        <v>56655</v>
      </c>
      <c r="J1671" s="13" t="str">
        <f>HYPERLINK("http://www.ncbi.nlm.nih.gov/nuccore/NM_019896", "NM_019896")</f>
        <v>NM_019896</v>
      </c>
      <c r="K1671" s="12" t="s">
        <v>6550</v>
      </c>
      <c r="L1671" s="13" t="str">
        <f>HYPERLINK("http://asia.ensembl.org/Homo_sapiens/Gene/Summary?g=ENSG00000115350", "ENSG00000115350")</f>
        <v>ENSG00000115350</v>
      </c>
      <c r="M1671" s="12" t="s">
        <v>18208</v>
      </c>
      <c r="N1671" s="12" t="s">
        <v>6551</v>
      </c>
    </row>
    <row r="1672" spans="1:14">
      <c r="A1672" s="12" t="s">
        <v>10080</v>
      </c>
      <c r="B1672" s="8">
        <v>20981.615519932398</v>
      </c>
      <c r="C1672" s="12">
        <v>42656.258052364901</v>
      </c>
      <c r="D1672" s="8">
        <v>-1.0236316479846299</v>
      </c>
      <c r="E1672" s="12">
        <v>1.6090160412316298E-2</v>
      </c>
      <c r="F1672" s="8" t="s">
        <v>3167</v>
      </c>
      <c r="G1672" s="12" t="s">
        <v>3168</v>
      </c>
      <c r="H1672" s="12">
        <v>1</v>
      </c>
      <c r="I1672" s="13" t="str">
        <f>HYPERLINK("http://www.ncbi.nlm.nih.gov/gene/1374", "1374")</f>
        <v>1374</v>
      </c>
      <c r="J1672" s="13" t="str">
        <f>HYPERLINK("http://www.ncbi.nlm.nih.gov/nuccore/NM_001876", "NM_001876")</f>
        <v>NM_001876</v>
      </c>
      <c r="K1672" s="12" t="s">
        <v>10081</v>
      </c>
      <c r="L1672" s="13" t="str">
        <f>HYPERLINK("http://asia.ensembl.org/Homo_sapiens/Gene/Summary?g=ENSG00000110090", "ENSG00000110090")</f>
        <v>ENSG00000110090</v>
      </c>
      <c r="M1672" s="12" t="s">
        <v>19530</v>
      </c>
      <c r="N1672" s="12" t="s">
        <v>19531</v>
      </c>
    </row>
    <row r="1673" spans="1:14">
      <c r="A1673" s="12" t="s">
        <v>11775</v>
      </c>
      <c r="B1673" s="8">
        <v>1444.3356687467101</v>
      </c>
      <c r="C1673" s="12">
        <v>2936.2792127756102</v>
      </c>
      <c r="D1673" s="8">
        <v>-1.0235830928999201</v>
      </c>
      <c r="E1673" s="12">
        <v>8.5857386446304695E-3</v>
      </c>
      <c r="F1673" s="8" t="s">
        <v>8870</v>
      </c>
      <c r="G1673" s="12" t="s">
        <v>8871</v>
      </c>
      <c r="H1673" s="12">
        <v>1</v>
      </c>
      <c r="I1673" s="13" t="str">
        <f>HYPERLINK("http://www.ncbi.nlm.nih.gov/gene/9158", "9158")</f>
        <v>9158</v>
      </c>
      <c r="J1673" s="12" t="s">
        <v>20201</v>
      </c>
      <c r="K1673" s="12" t="s">
        <v>20202</v>
      </c>
      <c r="L1673" s="13" t="str">
        <f>HYPERLINK("http://asia.ensembl.org/Homo_sapiens/Gene/Summary?g=ENSG00000172500", "ENSG00000172500")</f>
        <v>ENSG00000172500</v>
      </c>
      <c r="M1673" s="12" t="s">
        <v>20203</v>
      </c>
      <c r="N1673" s="12" t="s">
        <v>20204</v>
      </c>
    </row>
    <row r="1674" spans="1:14">
      <c r="A1674" s="12" t="s">
        <v>7825</v>
      </c>
      <c r="B1674" s="8">
        <v>8041.3317339516097</v>
      </c>
      <c r="C1674" s="12">
        <v>16343.8552135314</v>
      </c>
      <c r="D1674" s="8">
        <v>-1.02324197609114</v>
      </c>
      <c r="E1674" s="12">
        <v>7.3026987786139197E-3</v>
      </c>
      <c r="F1674" s="8" t="s">
        <v>7826</v>
      </c>
      <c r="G1674" s="12" t="s">
        <v>18646</v>
      </c>
      <c r="H1674" s="12">
        <v>1</v>
      </c>
      <c r="I1674" s="13" t="str">
        <f>HYPERLINK("http://www.ncbi.nlm.nih.gov/gene/7025", "7025")</f>
        <v>7025</v>
      </c>
      <c r="J1674" s="13" t="str">
        <f>HYPERLINK("http://www.ncbi.nlm.nih.gov/nuccore/NM_005654", "NM_005654")</f>
        <v>NM_005654</v>
      </c>
      <c r="K1674" s="12" t="s">
        <v>7827</v>
      </c>
      <c r="L1674" s="13" t="str">
        <f>HYPERLINK("http://asia.ensembl.org/Homo_sapiens/Gene/Summary?g=ENSG00000175745", "ENSG00000175745")</f>
        <v>ENSG00000175745</v>
      </c>
      <c r="M1674" s="12" t="s">
        <v>18647</v>
      </c>
      <c r="N1674" s="12" t="s">
        <v>18648</v>
      </c>
    </row>
    <row r="1675" spans="1:14">
      <c r="A1675" s="12" t="s">
        <v>11018</v>
      </c>
      <c r="B1675" s="8">
        <v>982.60851519993105</v>
      </c>
      <c r="C1675" s="12">
        <v>1995.86064314484</v>
      </c>
      <c r="D1675" s="8">
        <v>-1.02232234445899</v>
      </c>
      <c r="E1675" s="12">
        <v>7.2637564737801303E-3</v>
      </c>
      <c r="F1675" s="8" t="s">
        <v>11019</v>
      </c>
      <c r="G1675" s="12" t="s">
        <v>19928</v>
      </c>
      <c r="H1675" s="12">
        <v>1</v>
      </c>
      <c r="I1675" s="13" t="str">
        <f>HYPERLINK("http://www.ncbi.nlm.nih.gov/gene/8336", "8336")</f>
        <v>8336</v>
      </c>
      <c r="J1675" s="13" t="str">
        <f>HYPERLINK("http://www.ncbi.nlm.nih.gov/nuccore/NM_003514", "NM_003514")</f>
        <v>NM_003514</v>
      </c>
      <c r="K1675" s="12" t="s">
        <v>11020</v>
      </c>
      <c r="L1675" s="13" t="str">
        <f>HYPERLINK("http://asia.ensembl.org/Homo_sapiens/Gene/Summary?g=ENSG00000278677", "ENSG00000278677")</f>
        <v>ENSG00000278677</v>
      </c>
      <c r="M1675" s="12" t="s">
        <v>11021</v>
      </c>
      <c r="N1675" s="12" t="s">
        <v>11022</v>
      </c>
    </row>
    <row r="1676" spans="1:14">
      <c r="A1676" s="12" t="s">
        <v>3479</v>
      </c>
      <c r="B1676" s="8">
        <v>2832.4978763870199</v>
      </c>
      <c r="C1676" s="12">
        <v>5751.2798290012497</v>
      </c>
      <c r="D1676" s="8">
        <v>-1.0218081594706201</v>
      </c>
      <c r="E1676" s="12">
        <v>8.2474648646879301E-3</v>
      </c>
      <c r="F1676" s="8" t="s">
        <v>3480</v>
      </c>
      <c r="G1676" s="12" t="s">
        <v>3481</v>
      </c>
      <c r="H1676" s="12">
        <v>1</v>
      </c>
      <c r="I1676" s="13" t="str">
        <f>HYPERLINK("http://www.ncbi.nlm.nih.gov/gene/51218", "51218")</f>
        <v>51218</v>
      </c>
      <c r="J1676" s="13" t="str">
        <f>HYPERLINK("http://www.ncbi.nlm.nih.gov/nuccore/NM_016417", "NM_016417")</f>
        <v>NM_016417</v>
      </c>
      <c r="K1676" s="12" t="s">
        <v>3482</v>
      </c>
      <c r="L1676" s="13" t="str">
        <f>HYPERLINK("http://asia.ensembl.org/Homo_sapiens/Gene/Summary?g=ENSG00000182512", "ENSG00000182512")</f>
        <v>ENSG00000182512</v>
      </c>
      <c r="M1676" s="12" t="s">
        <v>17316</v>
      </c>
      <c r="N1676" s="12" t="s">
        <v>17317</v>
      </c>
    </row>
    <row r="1677" spans="1:14">
      <c r="A1677" s="12" t="s">
        <v>4733</v>
      </c>
      <c r="B1677" s="8">
        <v>17448.392848461699</v>
      </c>
      <c r="C1677" s="12">
        <v>35422.8744926156</v>
      </c>
      <c r="D1677" s="8">
        <v>-1.0215871309812301</v>
      </c>
      <c r="E1677" s="12">
        <v>6.4579796835680598E-3</v>
      </c>
      <c r="F1677" s="8" t="s">
        <v>4734</v>
      </c>
      <c r="G1677" s="12" t="s">
        <v>17742</v>
      </c>
      <c r="H1677" s="12">
        <v>1</v>
      </c>
      <c r="I1677" s="13" t="str">
        <f>HYPERLINK("http://www.ncbi.nlm.nih.gov/gene/7083", "7083")</f>
        <v>7083</v>
      </c>
      <c r="J1677" s="13" t="str">
        <f>HYPERLINK("http://www.ncbi.nlm.nih.gov/nuccore/NM_003258", "NM_003258")</f>
        <v>NM_003258</v>
      </c>
      <c r="K1677" s="12" t="s">
        <v>4735</v>
      </c>
      <c r="L1677" s="13" t="str">
        <f>HYPERLINK("http://asia.ensembl.org/Homo_sapiens/Gene/Summary?g=ENSG00000167900", "ENSG00000167900")</f>
        <v>ENSG00000167900</v>
      </c>
      <c r="M1677" s="12" t="s">
        <v>17743</v>
      </c>
      <c r="N1677" s="12" t="s">
        <v>17744</v>
      </c>
    </row>
    <row r="1678" spans="1:14">
      <c r="A1678" s="12" t="s">
        <v>9737</v>
      </c>
      <c r="B1678" s="8">
        <v>2643.2227145351699</v>
      </c>
      <c r="C1678" s="12">
        <v>5365.1504924456804</v>
      </c>
      <c r="D1678" s="8">
        <v>-1.0213206494148499</v>
      </c>
      <c r="E1678" s="12">
        <v>3.4205146003521299E-3</v>
      </c>
      <c r="F1678" s="8" t="s">
        <v>9738</v>
      </c>
      <c r="G1678" s="12" t="s">
        <v>9739</v>
      </c>
      <c r="H1678" s="12">
        <v>1</v>
      </c>
      <c r="I1678" s="13" t="str">
        <f>HYPERLINK("http://www.ncbi.nlm.nih.gov/gene/92162", "92162")</f>
        <v>92162</v>
      </c>
      <c r="J1678" s="13" t="str">
        <f>HYPERLINK("http://www.ncbi.nlm.nih.gov/nuccore/NM_203411", "NM_203411")</f>
        <v>NM_203411</v>
      </c>
      <c r="K1678" s="12" t="s">
        <v>9740</v>
      </c>
      <c r="L1678" s="13" t="str">
        <f>HYPERLINK("http://asia.ensembl.org/Homo_sapiens/Gene/Summary?g=ENSG00000167874", "ENSG00000167874")</f>
        <v>ENSG00000167874</v>
      </c>
      <c r="M1678" s="12" t="s">
        <v>19293</v>
      </c>
      <c r="N1678" s="12" t="s">
        <v>19294</v>
      </c>
    </row>
    <row r="1679" spans="1:14">
      <c r="A1679" s="12" t="s">
        <v>2470</v>
      </c>
      <c r="B1679" s="8">
        <v>2630.06410597997</v>
      </c>
      <c r="C1679" s="12">
        <v>5335.4911508540299</v>
      </c>
      <c r="D1679" s="8">
        <v>-1.0205231177174301</v>
      </c>
      <c r="E1679" s="12">
        <v>2.1275350218407101E-3</v>
      </c>
      <c r="F1679" s="8" t="s">
        <v>2471</v>
      </c>
      <c r="G1679" s="12" t="s">
        <v>2472</v>
      </c>
      <c r="H1679" s="12">
        <v>1</v>
      </c>
      <c r="I1679" s="13" t="str">
        <f>HYPERLINK("http://www.ncbi.nlm.nih.gov/gene/874", "874")</f>
        <v>874</v>
      </c>
      <c r="J1679" s="13" t="str">
        <f>HYPERLINK("http://www.ncbi.nlm.nih.gov/nuccore/NM_001236", "NM_001236")</f>
        <v>NM_001236</v>
      </c>
      <c r="K1679" s="12" t="s">
        <v>2473</v>
      </c>
      <c r="L1679" s="13" t="str">
        <f>HYPERLINK("http://asia.ensembl.org/Homo_sapiens/Gene/Summary?g=ENSG00000159231", "ENSG00000159231")</f>
        <v>ENSG00000159231</v>
      </c>
      <c r="M1679" s="12" t="s">
        <v>2474</v>
      </c>
      <c r="N1679" s="12" t="s">
        <v>2475</v>
      </c>
    </row>
    <row r="1680" spans="1:14">
      <c r="A1680" s="12" t="s">
        <v>3555</v>
      </c>
      <c r="B1680" s="8">
        <v>32517.080753002199</v>
      </c>
      <c r="C1680" s="12">
        <v>65952.756099932594</v>
      </c>
      <c r="D1680" s="8">
        <v>-1.02023520540183</v>
      </c>
      <c r="E1680" s="12">
        <v>1.8147918147847499E-3</v>
      </c>
      <c r="F1680" s="8" t="s">
        <v>3556</v>
      </c>
      <c r="G1680" s="12" t="s">
        <v>3557</v>
      </c>
      <c r="H1680" s="12">
        <v>1</v>
      </c>
      <c r="I1680" s="13" t="str">
        <f>HYPERLINK("http://www.ncbi.nlm.nih.gov/gene/23753", "23753")</f>
        <v>23753</v>
      </c>
      <c r="J1680" s="13" t="str">
        <f>HYPERLINK("http://www.ncbi.nlm.nih.gov/nuccore/NM_022044", "NM_022044")</f>
        <v>NM_022044</v>
      </c>
      <c r="K1680" s="12" t="s">
        <v>3558</v>
      </c>
      <c r="L1680" s="13" t="str">
        <f>HYPERLINK("http://asia.ensembl.org/Homo_sapiens/Gene/Summary?g=ENSG00000128228", "ENSG00000128228")</f>
        <v>ENSG00000128228</v>
      </c>
      <c r="M1680" s="12" t="s">
        <v>17343</v>
      </c>
      <c r="N1680" s="12" t="s">
        <v>3559</v>
      </c>
    </row>
    <row r="1681" spans="1:14">
      <c r="A1681" s="12" t="s">
        <v>10482</v>
      </c>
      <c r="B1681" s="8">
        <v>12701.692290880501</v>
      </c>
      <c r="C1681" s="12">
        <v>25760.438397465401</v>
      </c>
      <c r="D1681" s="8">
        <v>-1.02013642069127</v>
      </c>
      <c r="E1681" s="12">
        <v>1.03426276048209E-2</v>
      </c>
      <c r="F1681" s="8" t="s">
        <v>3529</v>
      </c>
      <c r="G1681" s="12" t="s">
        <v>3530</v>
      </c>
      <c r="H1681" s="12">
        <v>1</v>
      </c>
      <c r="I1681" s="13" t="str">
        <f>HYPERLINK("http://www.ncbi.nlm.nih.gov/gene/11212", "11212")</f>
        <v>11212</v>
      </c>
      <c r="J1681" s="13" t="str">
        <f>HYPERLINK("http://www.ncbi.nlm.nih.gov/nuccore/NM_007198", "NM_007198")</f>
        <v>NM_007198</v>
      </c>
      <c r="K1681" s="12" t="s">
        <v>3531</v>
      </c>
      <c r="L1681" s="13" t="str">
        <f>HYPERLINK("http://asia.ensembl.org/Homo_sapiens/Gene/Summary?g=ENSG00000147471", "ENSG00000147471")</f>
        <v>ENSG00000147471</v>
      </c>
      <c r="M1681" s="12" t="s">
        <v>19754</v>
      </c>
      <c r="N1681" s="12" t="s">
        <v>19755</v>
      </c>
    </row>
    <row r="1682" spans="1:14">
      <c r="A1682" s="12" t="s">
        <v>1313</v>
      </c>
      <c r="B1682" s="8">
        <v>6673.3843370423401</v>
      </c>
      <c r="C1682" s="12">
        <v>13534.1258133956</v>
      </c>
      <c r="D1682" s="8">
        <v>-1.0201112052289001</v>
      </c>
      <c r="E1682" s="12">
        <v>3.2580808441577702E-3</v>
      </c>
      <c r="F1682" s="8" t="s">
        <v>1314</v>
      </c>
      <c r="G1682" s="12" t="s">
        <v>1315</v>
      </c>
      <c r="H1682" s="12">
        <v>1</v>
      </c>
      <c r="I1682" s="13" t="str">
        <f>HYPERLINK("http://www.ncbi.nlm.nih.gov/gene/30834", "30834")</f>
        <v>30834</v>
      </c>
      <c r="J1682" s="12" t="s">
        <v>16569</v>
      </c>
      <c r="K1682" s="12" t="s">
        <v>16570</v>
      </c>
      <c r="L1682" s="13" t="str">
        <f>HYPERLINK("http://asia.ensembl.org/Homo_sapiens/Gene/Summary?g=ENSG00000206502", "ENSG00000206502")</f>
        <v>ENSG00000206502</v>
      </c>
      <c r="M1682" s="12" t="s">
        <v>16571</v>
      </c>
      <c r="N1682" s="12" t="s">
        <v>16572</v>
      </c>
    </row>
    <row r="1683" spans="1:14">
      <c r="A1683" s="12" t="s">
        <v>11366</v>
      </c>
      <c r="B1683" s="8">
        <v>199480.78594403801</v>
      </c>
      <c r="C1683" s="12">
        <v>404332.56490893097</v>
      </c>
      <c r="D1683" s="8">
        <v>-1.01929261054856</v>
      </c>
      <c r="E1683" s="12">
        <v>9.6983427476707504E-3</v>
      </c>
      <c r="F1683" s="8" t="s">
        <v>7338</v>
      </c>
      <c r="G1683" s="12" t="s">
        <v>7339</v>
      </c>
      <c r="H1683" s="12">
        <v>4</v>
      </c>
      <c r="I1683" s="12" t="s">
        <v>7340</v>
      </c>
      <c r="J1683" s="12" t="s">
        <v>20088</v>
      </c>
      <c r="K1683" s="12" t="s">
        <v>20089</v>
      </c>
      <c r="L1683" s="12" t="s">
        <v>7341</v>
      </c>
      <c r="M1683" s="12" t="s">
        <v>20090</v>
      </c>
      <c r="N1683" s="12" t="s">
        <v>20091</v>
      </c>
    </row>
    <row r="1684" spans="1:14">
      <c r="A1684" s="12" t="s">
        <v>1931</v>
      </c>
      <c r="B1684" s="8">
        <v>6328.1816290181196</v>
      </c>
      <c r="C1684" s="12">
        <v>12825.0409285674</v>
      </c>
      <c r="D1684" s="8">
        <v>-1.0191005167220899</v>
      </c>
      <c r="E1684" s="12">
        <v>4.9145944520012199E-3</v>
      </c>
      <c r="F1684" s="8" t="s">
        <v>1932</v>
      </c>
      <c r="G1684" s="12" t="s">
        <v>1933</v>
      </c>
      <c r="H1684" s="12">
        <v>1</v>
      </c>
      <c r="I1684" s="13" t="str">
        <f>HYPERLINK("http://www.ncbi.nlm.nih.gov/gene/283248", "283248")</f>
        <v>283248</v>
      </c>
      <c r="J1684" s="13" t="str">
        <f>HYPERLINK("http://www.ncbi.nlm.nih.gov/nuccore/NM_173587", "NM_173587")</f>
        <v>NM_173587</v>
      </c>
      <c r="K1684" s="12" t="s">
        <v>1934</v>
      </c>
      <c r="L1684" s="13" t="str">
        <f>HYPERLINK("http://asia.ensembl.org/Homo_sapiens/Gene/Summary?g=ENSG00000167771", "ENSG00000167771")</f>
        <v>ENSG00000167771</v>
      </c>
      <c r="M1684" s="12" t="s">
        <v>16843</v>
      </c>
      <c r="N1684" s="12" t="s">
        <v>1935</v>
      </c>
    </row>
    <row r="1685" spans="1:14">
      <c r="A1685" s="12" t="s">
        <v>9860</v>
      </c>
      <c r="B1685" s="8">
        <v>3986.6373525242502</v>
      </c>
      <c r="C1685" s="12">
        <v>8078.8324534516496</v>
      </c>
      <c r="D1685" s="8">
        <v>-1.0189744354218799</v>
      </c>
      <c r="E1685" s="12">
        <v>1.59779238878024E-3</v>
      </c>
      <c r="F1685" s="8" t="s">
        <v>1126</v>
      </c>
      <c r="G1685" s="12" t="s">
        <v>1127</v>
      </c>
      <c r="H1685" s="12">
        <v>1</v>
      </c>
      <c r="I1685" s="13" t="str">
        <f>HYPERLINK("http://www.ncbi.nlm.nih.gov/gene/23582", "23582")</f>
        <v>23582</v>
      </c>
      <c r="J1685" s="12" t="s">
        <v>19374</v>
      </c>
      <c r="K1685" s="12" t="s">
        <v>19375</v>
      </c>
      <c r="L1685" s="13" t="str">
        <f>HYPERLINK("http://asia.ensembl.org/Homo_sapiens/Gene/Summary?g=ENSG00000166946", "ENSG00000166946")</f>
        <v>ENSG00000166946</v>
      </c>
      <c r="M1685" s="12" t="s">
        <v>19376</v>
      </c>
      <c r="N1685" s="12" t="s">
        <v>19377</v>
      </c>
    </row>
    <row r="1686" spans="1:14">
      <c r="A1686" s="12" t="s">
        <v>11037</v>
      </c>
      <c r="B1686" s="8">
        <v>4401.8383532257903</v>
      </c>
      <c r="C1686" s="12">
        <v>8920.0046275310106</v>
      </c>
      <c r="D1686" s="8">
        <v>-1.01893829184226</v>
      </c>
      <c r="E1686" s="12">
        <v>1.00714438092834E-2</v>
      </c>
      <c r="F1686" s="8" t="s">
        <v>2149</v>
      </c>
      <c r="G1686" s="12" t="s">
        <v>2150</v>
      </c>
      <c r="H1686" s="12">
        <v>1</v>
      </c>
      <c r="I1686" s="13" t="str">
        <f>HYPERLINK("http://www.ncbi.nlm.nih.gov/gene/80308", "80308")</f>
        <v>80308</v>
      </c>
      <c r="J1686" s="13" t="str">
        <f>HYPERLINK("http://www.ncbi.nlm.nih.gov/nuccore/NM_001184892", "NM_001184892")</f>
        <v>NM_001184892</v>
      </c>
      <c r="K1686" s="12" t="s">
        <v>11038</v>
      </c>
      <c r="L1686" s="13" t="str">
        <f>HYPERLINK("http://asia.ensembl.org/Homo_sapiens/Gene/Summary?g=ENSG00000160688", "ENSG00000160688")</f>
        <v>ENSG00000160688</v>
      </c>
      <c r="M1686" s="12" t="s">
        <v>19938</v>
      </c>
      <c r="N1686" s="12" t="s">
        <v>19939</v>
      </c>
    </row>
    <row r="1687" spans="1:14">
      <c r="A1687" s="12" t="s">
        <v>6982</v>
      </c>
      <c r="B1687" s="8">
        <v>10605.3236143329</v>
      </c>
      <c r="C1687" s="12">
        <v>21490.689790137199</v>
      </c>
      <c r="D1687" s="8">
        <v>-1.0189231455132</v>
      </c>
      <c r="E1687" s="12">
        <v>7.0832193559022903E-3</v>
      </c>
      <c r="F1687" s="8" t="s">
        <v>6983</v>
      </c>
      <c r="G1687" s="12" t="s">
        <v>18325</v>
      </c>
      <c r="H1687" s="12">
        <v>4</v>
      </c>
      <c r="I1687" s="12" t="s">
        <v>6984</v>
      </c>
      <c r="J1687" s="12" t="s">
        <v>18326</v>
      </c>
      <c r="K1687" s="12" t="s">
        <v>18327</v>
      </c>
      <c r="L1687" s="12" t="s">
        <v>6985</v>
      </c>
      <c r="M1687" s="12" t="s">
        <v>18328</v>
      </c>
      <c r="N1687" s="12" t="s">
        <v>18329</v>
      </c>
    </row>
    <row r="1688" spans="1:14">
      <c r="A1688" s="12" t="s">
        <v>8757</v>
      </c>
      <c r="B1688" s="8">
        <v>91635.958968312596</v>
      </c>
      <c r="C1688" s="12">
        <v>185636.53112316001</v>
      </c>
      <c r="D1688" s="8">
        <v>-1.01849490000562</v>
      </c>
      <c r="E1688" s="12">
        <v>2.31321353651236E-2</v>
      </c>
      <c r="F1688" s="8" t="s">
        <v>8758</v>
      </c>
      <c r="G1688" s="12" t="s">
        <v>8759</v>
      </c>
      <c r="H1688" s="12">
        <v>1</v>
      </c>
      <c r="I1688" s="13" t="str">
        <f>HYPERLINK("http://www.ncbi.nlm.nih.gov/gene/11224", "11224")</f>
        <v>11224</v>
      </c>
      <c r="J1688" s="13" t="str">
        <f>HYPERLINK("http://www.ncbi.nlm.nih.gov/nuccore/NM_007209", "NM_007209")</f>
        <v>NM_007209</v>
      </c>
      <c r="K1688" s="12" t="s">
        <v>8760</v>
      </c>
      <c r="L1688" s="13" t="str">
        <f>HYPERLINK("http://asia.ensembl.org/Homo_sapiens/Gene/Summary?g=ENSG00000136942", "ENSG00000136942")</f>
        <v>ENSG00000136942</v>
      </c>
      <c r="M1688" s="12" t="s">
        <v>18954</v>
      </c>
      <c r="N1688" s="12" t="s">
        <v>18955</v>
      </c>
    </row>
    <row r="1689" spans="1:14">
      <c r="A1689" s="12" t="s">
        <v>463</v>
      </c>
      <c r="B1689" s="8">
        <v>292.37402504766601</v>
      </c>
      <c r="C1689" s="12">
        <v>592.25687170057802</v>
      </c>
      <c r="D1689" s="8">
        <v>-1.0184078867644</v>
      </c>
      <c r="E1689" s="12">
        <v>1.1681142427464001E-3</v>
      </c>
      <c r="F1689" s="8" t="s">
        <v>464</v>
      </c>
      <c r="G1689" s="12" t="s">
        <v>465</v>
      </c>
      <c r="H1689" s="12">
        <v>1</v>
      </c>
      <c r="I1689" s="13" t="str">
        <f>HYPERLINK("http://www.ncbi.nlm.nih.gov/gene/162417", "162417")</f>
        <v>162417</v>
      </c>
      <c r="J1689" s="13" t="str">
        <f>HYPERLINK("http://www.ncbi.nlm.nih.gov/nuccore/NM_153006", "NM_153006")</f>
        <v>NM_153006</v>
      </c>
      <c r="K1689" s="12" t="s">
        <v>466</v>
      </c>
      <c r="L1689" s="13" t="str">
        <f>HYPERLINK("http://asia.ensembl.org/Homo_sapiens/Gene/Summary?g=ENSG00000161653", "ENSG00000161653")</f>
        <v>ENSG00000161653</v>
      </c>
      <c r="M1689" s="12" t="s">
        <v>16332</v>
      </c>
      <c r="N1689" s="12" t="s">
        <v>16333</v>
      </c>
    </row>
    <row r="1690" spans="1:14">
      <c r="A1690" s="12" t="s">
        <v>7108</v>
      </c>
      <c r="B1690" s="8">
        <v>255789.635986348</v>
      </c>
      <c r="C1690" s="12">
        <v>518092.21331608098</v>
      </c>
      <c r="D1690" s="8">
        <v>-1.01825109003298</v>
      </c>
      <c r="E1690" s="12">
        <v>1.1501225465059E-2</v>
      </c>
      <c r="F1690" s="8" t="s">
        <v>7109</v>
      </c>
      <c r="G1690" s="12" t="s">
        <v>7110</v>
      </c>
      <c r="H1690" s="12">
        <v>1</v>
      </c>
      <c r="I1690" s="13" t="str">
        <f>HYPERLINK("http://www.ncbi.nlm.nih.gov/gene/6232", "6232")</f>
        <v>6232</v>
      </c>
      <c r="J1690" s="13" t="str">
        <f>HYPERLINK("http://www.ncbi.nlm.nih.gov/nuccore/NM_001030", "NM_001030")</f>
        <v>NM_001030</v>
      </c>
      <c r="K1690" s="12" t="s">
        <v>7111</v>
      </c>
      <c r="L1690" s="13" t="str">
        <f>HYPERLINK("http://asia.ensembl.org/Homo_sapiens/Gene/Summary?g=ENSG00000177954", "ENSG00000177954")</f>
        <v>ENSG00000177954</v>
      </c>
      <c r="M1690" s="12" t="s">
        <v>18375</v>
      </c>
      <c r="N1690" s="12" t="s">
        <v>18376</v>
      </c>
    </row>
    <row r="1691" spans="1:14">
      <c r="A1691" s="12" t="s">
        <v>7076</v>
      </c>
      <c r="B1691" s="8">
        <v>6075.1218990514299</v>
      </c>
      <c r="C1691" s="12">
        <v>12303.8927422172</v>
      </c>
      <c r="D1691" s="8">
        <v>-1.0181295697291499</v>
      </c>
      <c r="E1691" s="12">
        <v>5.3161734863369703E-3</v>
      </c>
      <c r="F1691" s="8" t="s">
        <v>7077</v>
      </c>
      <c r="G1691" s="12" t="s">
        <v>7078</v>
      </c>
      <c r="H1691" s="12">
        <v>1</v>
      </c>
      <c r="I1691" s="13" t="str">
        <f>HYPERLINK("http://www.ncbi.nlm.nih.gov/gene/65005", "65005")</f>
        <v>65005</v>
      </c>
      <c r="J1691" s="13" t="str">
        <f>HYPERLINK("http://www.ncbi.nlm.nih.gov/nuccore/NM_031420", "NM_031420")</f>
        <v>NM_031420</v>
      </c>
      <c r="K1691" s="12" t="s">
        <v>7079</v>
      </c>
      <c r="L1691" s="13" t="str">
        <f>HYPERLINK("http://asia.ensembl.org/Homo_sapiens/Gene/Summary?g=ENSG00000143436", "ENSG00000143436")</f>
        <v>ENSG00000143436</v>
      </c>
      <c r="M1691" s="12" t="s">
        <v>18358</v>
      </c>
      <c r="N1691" s="12" t="s">
        <v>18359</v>
      </c>
    </row>
    <row r="1692" spans="1:14">
      <c r="A1692" s="12" t="s">
        <v>9948</v>
      </c>
      <c r="B1692" s="8">
        <v>2315.3634901354098</v>
      </c>
      <c r="C1692" s="12">
        <v>4689.1157147384301</v>
      </c>
      <c r="D1692" s="8">
        <v>-1.01807718060244</v>
      </c>
      <c r="E1692" s="12">
        <v>1.71085375723379E-3</v>
      </c>
      <c r="F1692" s="8" t="s">
        <v>1571</v>
      </c>
      <c r="G1692" s="12" t="s">
        <v>19462</v>
      </c>
      <c r="H1692" s="12">
        <v>1</v>
      </c>
      <c r="I1692" s="13" t="str">
        <f>HYPERLINK("http://www.ncbi.nlm.nih.gov/gene/8659", "8659")</f>
        <v>8659</v>
      </c>
      <c r="J1692" s="12" t="s">
        <v>19463</v>
      </c>
      <c r="K1692" s="12" t="s">
        <v>19464</v>
      </c>
      <c r="L1692" s="13" t="str">
        <f>HYPERLINK("http://asia.ensembl.org/Homo_sapiens/Gene/Summary?g=ENSG00000159423", "ENSG00000159423")</f>
        <v>ENSG00000159423</v>
      </c>
      <c r="M1692" s="12" t="s">
        <v>19465</v>
      </c>
      <c r="N1692" s="12" t="s">
        <v>19466</v>
      </c>
    </row>
    <row r="1693" spans="1:14">
      <c r="A1693" s="12" t="s">
        <v>11255</v>
      </c>
      <c r="B1693" s="8">
        <v>129817.589643264</v>
      </c>
      <c r="C1693" s="12">
        <v>262885.82825142902</v>
      </c>
      <c r="D1693" s="8">
        <v>-1.0179504960572601</v>
      </c>
      <c r="E1693" s="12">
        <v>2.2058265660367199E-2</v>
      </c>
      <c r="F1693" s="8" t="s">
        <v>9517</v>
      </c>
      <c r="G1693" s="12" t="s">
        <v>9518</v>
      </c>
      <c r="H1693" s="12">
        <v>1</v>
      </c>
      <c r="I1693" s="13" t="str">
        <f>HYPERLINK("http://www.ncbi.nlm.nih.gov/gene/140823", "140823")</f>
        <v>140823</v>
      </c>
      <c r="J1693" s="13" t="str">
        <f>HYPERLINK("http://www.ncbi.nlm.nih.gov/nuccore/NM_080748", "NM_080748")</f>
        <v>NM_080748</v>
      </c>
      <c r="K1693" s="12" t="s">
        <v>9519</v>
      </c>
      <c r="L1693" s="13" t="str">
        <f>HYPERLINK("http://asia.ensembl.org/Homo_sapiens/Gene/Summary?g=ENSG00000125995", "ENSG00000125995")</f>
        <v>ENSG00000125995</v>
      </c>
      <c r="M1693" s="12" t="s">
        <v>19180</v>
      </c>
      <c r="N1693" s="12" t="s">
        <v>19181</v>
      </c>
    </row>
    <row r="1694" spans="1:14">
      <c r="A1694" s="12" t="s">
        <v>8498</v>
      </c>
      <c r="B1694" s="8">
        <v>1871.62657123699</v>
      </c>
      <c r="C1694" s="12">
        <v>3789.0283305487501</v>
      </c>
      <c r="D1694" s="8">
        <v>-1.0175353112031</v>
      </c>
      <c r="E1694" s="12">
        <v>7.5758652876294101E-3</v>
      </c>
      <c r="F1694" s="8" t="s">
        <v>8499</v>
      </c>
      <c r="G1694" s="12" t="s">
        <v>8500</v>
      </c>
      <c r="H1694" s="12">
        <v>4</v>
      </c>
      <c r="I1694" s="12" t="s">
        <v>8501</v>
      </c>
      <c r="J1694" s="12" t="s">
        <v>8502</v>
      </c>
      <c r="K1694" s="12" t="s">
        <v>8503</v>
      </c>
      <c r="L1694" s="12" t="s">
        <v>8504</v>
      </c>
      <c r="M1694" s="12" t="s">
        <v>18862</v>
      </c>
      <c r="N1694" s="12" t="s">
        <v>18863</v>
      </c>
    </row>
    <row r="1695" spans="1:14">
      <c r="A1695" s="12" t="s">
        <v>5993</v>
      </c>
      <c r="B1695" s="8">
        <v>4641.0487499328901</v>
      </c>
      <c r="C1695" s="12">
        <v>9395.2488341033095</v>
      </c>
      <c r="D1695" s="8">
        <v>-1.0174805203061901</v>
      </c>
      <c r="E1695" s="12">
        <v>5.8684698757118002E-3</v>
      </c>
      <c r="F1695" s="8" t="s">
        <v>5994</v>
      </c>
      <c r="G1695" s="12" t="s">
        <v>1517</v>
      </c>
      <c r="H1695" s="12">
        <v>1</v>
      </c>
      <c r="I1695" s="13" t="str">
        <f>HYPERLINK("http://www.ncbi.nlm.nih.gov/gene/8798", "8798")</f>
        <v>8798</v>
      </c>
      <c r="J1695" s="13" t="str">
        <f>HYPERLINK("http://www.ncbi.nlm.nih.gov/nuccore/NM_003845", "NM_003845")</f>
        <v>NM_003845</v>
      </c>
      <c r="K1695" s="12" t="s">
        <v>5995</v>
      </c>
      <c r="L1695" s="13" t="str">
        <f>HYPERLINK("http://asia.ensembl.org/Homo_sapiens/Gene/Summary?g=ENSG00000010219", "ENSG00000010219")</f>
        <v>ENSG00000010219</v>
      </c>
      <c r="M1695" s="12" t="s">
        <v>18029</v>
      </c>
      <c r="N1695" s="12" t="s">
        <v>18030</v>
      </c>
    </row>
    <row r="1696" spans="1:14">
      <c r="A1696" s="12" t="s">
        <v>3483</v>
      </c>
      <c r="B1696" s="8">
        <v>445.88424641921398</v>
      </c>
      <c r="C1696" s="12">
        <v>902.619588359619</v>
      </c>
      <c r="D1696" s="8">
        <v>-1.0174488592434401</v>
      </c>
      <c r="E1696" s="12">
        <v>3.3271629613933103E-2</v>
      </c>
      <c r="F1696" s="8" t="s">
        <v>3484</v>
      </c>
      <c r="G1696" s="12" t="s">
        <v>3485</v>
      </c>
      <c r="H1696" s="12">
        <v>1</v>
      </c>
      <c r="I1696" s="13" t="str">
        <f>HYPERLINK("http://www.ncbi.nlm.nih.gov/gene/50865", "50865")</f>
        <v>50865</v>
      </c>
      <c r="J1696" s="13" t="str">
        <f>HYPERLINK("http://www.ncbi.nlm.nih.gov/nuccore/NM_015987", "NM_015987")</f>
        <v>NM_015987</v>
      </c>
      <c r="K1696" s="12" t="s">
        <v>3486</v>
      </c>
      <c r="L1696" s="13" t="str">
        <f>HYPERLINK("http://asia.ensembl.org/Homo_sapiens/Gene/Summary?g=ENSG00000013583", "ENSG00000013583")</f>
        <v>ENSG00000013583</v>
      </c>
      <c r="M1696" s="12" t="s">
        <v>17318</v>
      </c>
      <c r="N1696" s="12" t="s">
        <v>17319</v>
      </c>
    </row>
    <row r="1697" spans="1:14">
      <c r="A1697" s="12" t="s">
        <v>10245</v>
      </c>
      <c r="B1697" s="8">
        <v>5926.4892793886602</v>
      </c>
      <c r="C1697" s="12">
        <v>11996.7705165306</v>
      </c>
      <c r="D1697" s="8">
        <v>-1.0173964478478399</v>
      </c>
      <c r="E1697" s="12">
        <v>2.5389256108458901E-2</v>
      </c>
      <c r="F1697" s="8" t="s">
        <v>8524</v>
      </c>
      <c r="G1697" s="12" t="s">
        <v>19622</v>
      </c>
      <c r="H1697" s="12">
        <v>1</v>
      </c>
      <c r="I1697" s="13" t="str">
        <f>HYPERLINK("http://www.ncbi.nlm.nih.gov/gene/2280", "2280")</f>
        <v>2280</v>
      </c>
      <c r="J1697" s="13" t="str">
        <f>HYPERLINK("http://www.ncbi.nlm.nih.gov/nuccore/NM_054014", "NM_054014")</f>
        <v>NM_054014</v>
      </c>
      <c r="K1697" s="12" t="s">
        <v>10246</v>
      </c>
      <c r="L1697" s="13" t="str">
        <f>HYPERLINK("http://asia.ensembl.org/Homo_sapiens/Gene/Summary?g=ENSG00000088832", "ENSG00000088832")</f>
        <v>ENSG00000088832</v>
      </c>
      <c r="M1697" s="12" t="s">
        <v>19623</v>
      </c>
      <c r="N1697" s="12" t="s">
        <v>19624</v>
      </c>
    </row>
    <row r="1698" spans="1:14">
      <c r="A1698" s="12" t="s">
        <v>704</v>
      </c>
      <c r="B1698" s="8">
        <v>310.70591552952402</v>
      </c>
      <c r="C1698" s="12">
        <v>628.78635975924396</v>
      </c>
      <c r="D1698" s="8">
        <v>-1.01702021241209</v>
      </c>
      <c r="E1698" s="12">
        <v>1.2700215769253899E-4</v>
      </c>
      <c r="F1698" s="8" t="s">
        <v>705</v>
      </c>
      <c r="G1698" s="12" t="s">
        <v>706</v>
      </c>
      <c r="H1698" s="12">
        <v>1</v>
      </c>
      <c r="I1698" s="13" t="str">
        <f>HYPERLINK("http://www.ncbi.nlm.nih.gov/gene/9452", "9452")</f>
        <v>9452</v>
      </c>
      <c r="J1698" s="12" t="s">
        <v>16420</v>
      </c>
      <c r="K1698" s="12" t="s">
        <v>16421</v>
      </c>
      <c r="L1698" s="13" t="str">
        <f>HYPERLINK("http://asia.ensembl.org/Homo_sapiens/Gene/Summary?g=ENSG00000078596", "ENSG00000078596")</f>
        <v>ENSG00000078596</v>
      </c>
      <c r="M1698" s="12" t="s">
        <v>16422</v>
      </c>
      <c r="N1698" s="12" t="s">
        <v>16423</v>
      </c>
    </row>
    <row r="1699" spans="1:14">
      <c r="A1699" s="12" t="s">
        <v>1481</v>
      </c>
      <c r="B1699" s="8">
        <v>16976.346758292701</v>
      </c>
      <c r="C1699" s="12">
        <v>34351.9329500272</v>
      </c>
      <c r="D1699" s="8">
        <v>-1.0168652502742801</v>
      </c>
      <c r="E1699" s="12">
        <v>8.6396339622804696E-3</v>
      </c>
      <c r="F1699" s="8" t="s">
        <v>1482</v>
      </c>
      <c r="G1699" s="12" t="s">
        <v>286</v>
      </c>
      <c r="H1699" s="12">
        <v>1</v>
      </c>
      <c r="I1699" s="13" t="str">
        <f>HYPERLINK("http://www.ncbi.nlm.nih.gov/gene/4704", "4704")</f>
        <v>4704</v>
      </c>
      <c r="J1699" s="13" t="str">
        <f>HYPERLINK("http://www.ncbi.nlm.nih.gov/nuccore/NM_005002", "NM_005002")</f>
        <v>NM_005002</v>
      </c>
      <c r="K1699" s="12" t="s">
        <v>1483</v>
      </c>
      <c r="L1699" s="13" t="str">
        <f>HYPERLINK("http://asia.ensembl.org/Homo_sapiens/Gene/Summary?g=ENSG00000139180", "ENSG00000139180")</f>
        <v>ENSG00000139180</v>
      </c>
      <c r="M1699" s="12" t="s">
        <v>16640</v>
      </c>
      <c r="N1699" s="12" t="s">
        <v>16641</v>
      </c>
    </row>
    <row r="1700" spans="1:14">
      <c r="A1700" s="12" t="s">
        <v>7299</v>
      </c>
      <c r="B1700" s="8">
        <v>95.220883817885294</v>
      </c>
      <c r="C1700" s="12">
        <v>192.66601486652601</v>
      </c>
      <c r="D1700" s="8">
        <v>-1.0167521864676199</v>
      </c>
      <c r="E1700" s="12">
        <v>5.2773954453665204E-3</v>
      </c>
      <c r="F1700" s="8" t="s">
        <v>7300</v>
      </c>
      <c r="G1700" s="12" t="s">
        <v>7301</v>
      </c>
      <c r="H1700" s="12">
        <v>1</v>
      </c>
      <c r="I1700" s="13" t="str">
        <f>HYPERLINK("http://www.ncbi.nlm.nih.gov/gene/4973", "4973")</f>
        <v>4973</v>
      </c>
      <c r="J1700" s="12" t="s">
        <v>18467</v>
      </c>
      <c r="K1700" s="12" t="s">
        <v>18468</v>
      </c>
      <c r="L1700" s="13" t="str">
        <f>HYPERLINK("http://asia.ensembl.org/Homo_sapiens/Gene/Summary?g=ENSG00000173391", "ENSG00000173391")</f>
        <v>ENSG00000173391</v>
      </c>
      <c r="M1700" s="12" t="s">
        <v>18469</v>
      </c>
      <c r="N1700" s="12" t="s">
        <v>18470</v>
      </c>
    </row>
    <row r="1701" spans="1:14">
      <c r="A1701" s="12" t="s">
        <v>1716</v>
      </c>
      <c r="B1701" s="8">
        <v>16605.0014280957</v>
      </c>
      <c r="C1701" s="12">
        <v>33597.2373444978</v>
      </c>
      <c r="D1701" s="8">
        <v>-1.01672476009617</v>
      </c>
      <c r="E1701" s="12">
        <v>6.15218238306118E-3</v>
      </c>
      <c r="F1701" s="8" t="s">
        <v>1717</v>
      </c>
      <c r="G1701" s="12" t="s">
        <v>1718</v>
      </c>
      <c r="H1701" s="12">
        <v>1</v>
      </c>
      <c r="I1701" s="13" t="str">
        <f>HYPERLINK("http://www.ncbi.nlm.nih.gov/gene/10549", "10549")</f>
        <v>10549</v>
      </c>
      <c r="J1701" s="13" t="str">
        <f>HYPERLINK("http://www.ncbi.nlm.nih.gov/nuccore/NM_006406", "NM_006406")</f>
        <v>NM_006406</v>
      </c>
      <c r="K1701" s="12" t="s">
        <v>1719</v>
      </c>
      <c r="L1701" s="13" t="str">
        <f>HYPERLINK("http://asia.ensembl.org/Homo_sapiens/Gene/Summary?g=ENSG00000123131", "ENSG00000123131")</f>
        <v>ENSG00000123131</v>
      </c>
      <c r="M1701" s="12" t="s">
        <v>16772</v>
      </c>
      <c r="N1701" s="12" t="s">
        <v>16773</v>
      </c>
    </row>
    <row r="1702" spans="1:14">
      <c r="A1702" s="12" t="s">
        <v>11588</v>
      </c>
      <c r="B1702" s="8">
        <v>4208.4488011645499</v>
      </c>
      <c r="C1702" s="12">
        <v>8513.0433918840008</v>
      </c>
      <c r="D1702" s="8">
        <v>-1.0163864180105799</v>
      </c>
      <c r="E1702" s="12">
        <v>4.1285351127819704E-3</v>
      </c>
      <c r="F1702" s="8" t="s">
        <v>11589</v>
      </c>
      <c r="G1702" s="12" t="s">
        <v>11590</v>
      </c>
      <c r="H1702" s="12">
        <v>4</v>
      </c>
      <c r="I1702" s="12" t="s">
        <v>11591</v>
      </c>
      <c r="J1702" s="12" t="s">
        <v>11592</v>
      </c>
      <c r="K1702" s="12" t="s">
        <v>11593</v>
      </c>
      <c r="L1702" s="12" t="s">
        <v>11594</v>
      </c>
      <c r="M1702" s="12" t="s">
        <v>20139</v>
      </c>
      <c r="N1702" s="12" t="s">
        <v>20140</v>
      </c>
    </row>
    <row r="1703" spans="1:14">
      <c r="A1703" s="12" t="s">
        <v>2990</v>
      </c>
      <c r="B1703" s="8">
        <v>30690.457245231701</v>
      </c>
      <c r="C1703" s="12">
        <v>62067.919824042598</v>
      </c>
      <c r="D1703" s="8">
        <v>-1.0160576553920699</v>
      </c>
      <c r="E1703" s="12">
        <v>1.4134493837684701E-2</v>
      </c>
      <c r="F1703" s="8" t="s">
        <v>2991</v>
      </c>
      <c r="G1703" s="12" t="s">
        <v>15570</v>
      </c>
      <c r="H1703" s="12">
        <v>1</v>
      </c>
      <c r="I1703" s="13" t="str">
        <f>HYPERLINK("http://www.ncbi.nlm.nih.gov/gene/5688", "5688")</f>
        <v>5688</v>
      </c>
      <c r="J1703" s="13" t="str">
        <f>HYPERLINK("http://www.ncbi.nlm.nih.gov/nuccore/NM_002792", "NM_002792")</f>
        <v>NM_002792</v>
      </c>
      <c r="K1703" s="12" t="s">
        <v>2992</v>
      </c>
      <c r="L1703" s="13" t="str">
        <f>HYPERLINK("http://asia.ensembl.org/Homo_sapiens/Gene/Summary?g=ENSG00000101182", "ENSG00000101182")</f>
        <v>ENSG00000101182</v>
      </c>
      <c r="M1703" s="12" t="s">
        <v>17163</v>
      </c>
      <c r="N1703" s="12" t="s">
        <v>17164</v>
      </c>
    </row>
    <row r="1704" spans="1:14">
      <c r="A1704" s="12" t="s">
        <v>10358</v>
      </c>
      <c r="B1704" s="8">
        <v>1101.022757665</v>
      </c>
      <c r="C1704" s="12">
        <v>2225.8958949091498</v>
      </c>
      <c r="D1704" s="8">
        <v>-1.0155418303556101</v>
      </c>
      <c r="E1704" s="12">
        <v>7.9118246461838898E-4</v>
      </c>
      <c r="F1704" s="8" t="s">
        <v>2850</v>
      </c>
      <c r="G1704" s="12" t="s">
        <v>2851</v>
      </c>
      <c r="H1704" s="12">
        <v>1</v>
      </c>
      <c r="I1704" s="13" t="str">
        <f>HYPERLINK("http://www.ncbi.nlm.nih.gov/gene/201299", "201299")</f>
        <v>201299</v>
      </c>
      <c r="J1704" s="12" t="s">
        <v>19689</v>
      </c>
      <c r="K1704" s="12" t="s">
        <v>19690</v>
      </c>
      <c r="L1704" s="13" t="str">
        <f>HYPERLINK("http://asia.ensembl.org/Homo_sapiens/Gene/Summary?g=ENSG00000276432", "ENSG00000276432")</f>
        <v>ENSG00000276432</v>
      </c>
      <c r="M1704" s="12" t="s">
        <v>19691</v>
      </c>
      <c r="N1704" s="12" t="s">
        <v>19692</v>
      </c>
    </row>
    <row r="1705" spans="1:14">
      <c r="A1705" s="12" t="s">
        <v>241</v>
      </c>
      <c r="B1705" s="8">
        <v>6442.2990040315499</v>
      </c>
      <c r="C1705" s="12">
        <v>13023.3416141493</v>
      </c>
      <c r="D1705" s="8">
        <v>-1.01545214547344</v>
      </c>
      <c r="E1705" s="12">
        <v>7.7363131037801796E-3</v>
      </c>
      <c r="F1705" s="8" t="s">
        <v>242</v>
      </c>
      <c r="G1705" s="12" t="s">
        <v>243</v>
      </c>
      <c r="H1705" s="12">
        <v>1</v>
      </c>
      <c r="I1705" s="13" t="str">
        <f>HYPERLINK("http://www.ncbi.nlm.nih.gov/gene/79080", "79080")</f>
        <v>79080</v>
      </c>
      <c r="J1705" s="13" t="str">
        <f>HYPERLINK("http://www.ncbi.nlm.nih.gov/nuccore/NM_024098", "NM_024098")</f>
        <v>NM_024098</v>
      </c>
      <c r="K1705" s="12" t="s">
        <v>244</v>
      </c>
      <c r="L1705" s="13" t="str">
        <f>HYPERLINK("http://asia.ensembl.org/Homo_sapiens/Gene/Summary?g=ENSG00000110104", "ENSG00000110104")</f>
        <v>ENSG00000110104</v>
      </c>
      <c r="M1705" s="12" t="s">
        <v>16294</v>
      </c>
      <c r="N1705" s="12" t="s">
        <v>16295</v>
      </c>
    </row>
    <row r="1706" spans="1:14">
      <c r="A1706" s="12" t="s">
        <v>4278</v>
      </c>
      <c r="B1706" s="8">
        <v>968.26923769924804</v>
      </c>
      <c r="C1706" s="12">
        <v>1957.12841305608</v>
      </c>
      <c r="D1706" s="8">
        <v>-1.01525825330842</v>
      </c>
      <c r="E1706" s="12">
        <v>2.0847373096818701E-3</v>
      </c>
      <c r="F1706" s="8" t="s">
        <v>4279</v>
      </c>
      <c r="G1706" s="12" t="s">
        <v>4280</v>
      </c>
      <c r="H1706" s="12">
        <v>1</v>
      </c>
      <c r="I1706" s="13" t="str">
        <f>HYPERLINK("http://www.ncbi.nlm.nih.gov/gene/79701", "79701")</f>
        <v>79701</v>
      </c>
      <c r="J1706" s="12" t="s">
        <v>17638</v>
      </c>
      <c r="K1706" s="12" t="s">
        <v>17639</v>
      </c>
      <c r="L1706" s="13" t="str">
        <f>HYPERLINK("http://asia.ensembl.org/Homo_sapiens/Gene/Summary?g=ENSG00000181396", "ENSG00000181396")</f>
        <v>ENSG00000181396</v>
      </c>
      <c r="M1706" s="12" t="s">
        <v>17640</v>
      </c>
      <c r="N1706" s="12" t="s">
        <v>17641</v>
      </c>
    </row>
    <row r="1707" spans="1:14">
      <c r="A1707" s="12" t="s">
        <v>10193</v>
      </c>
      <c r="B1707" s="8">
        <v>494.29194186808201</v>
      </c>
      <c r="C1707" s="12">
        <v>999.03204522810904</v>
      </c>
      <c r="D1707" s="8">
        <v>-1.0151675677291201</v>
      </c>
      <c r="E1707" s="12">
        <v>9.7764292277057498E-3</v>
      </c>
      <c r="F1707" s="8" t="s">
        <v>2771</v>
      </c>
      <c r="G1707" s="12" t="s">
        <v>2772</v>
      </c>
      <c r="H1707" s="12">
        <v>1</v>
      </c>
      <c r="I1707" s="13" t="str">
        <f>HYPERLINK("http://www.ncbi.nlm.nih.gov/gene/83451", "83451")</f>
        <v>83451</v>
      </c>
      <c r="J1707" s="12" t="s">
        <v>19580</v>
      </c>
      <c r="K1707" s="12" t="s">
        <v>19581</v>
      </c>
      <c r="L1707" s="13" t="str">
        <f>HYPERLINK("http://asia.ensembl.org/Homo_sapiens/Gene/Summary?g=ENSG00000106077", "ENSG00000106077")</f>
        <v>ENSG00000106077</v>
      </c>
      <c r="M1707" s="12" t="s">
        <v>17108</v>
      </c>
      <c r="N1707" s="12" t="s">
        <v>17109</v>
      </c>
    </row>
    <row r="1708" spans="1:14">
      <c r="A1708" s="12" t="s">
        <v>7334</v>
      </c>
      <c r="B1708" s="8">
        <v>2366.7224432550802</v>
      </c>
      <c r="C1708" s="12">
        <v>4783.3589724605499</v>
      </c>
      <c r="D1708" s="8">
        <v>-1.0151335397151899</v>
      </c>
      <c r="E1708" s="12">
        <v>6.05061468187455E-3</v>
      </c>
      <c r="F1708" s="8" t="s">
        <v>7335</v>
      </c>
      <c r="G1708" s="12" t="s">
        <v>7336</v>
      </c>
      <c r="H1708" s="12">
        <v>1</v>
      </c>
      <c r="I1708" s="13" t="str">
        <f>HYPERLINK("http://www.ncbi.nlm.nih.gov/gene/728294", "728294")</f>
        <v>728294</v>
      </c>
      <c r="J1708" s="13" t="str">
        <f>HYPERLINK("http://www.ncbi.nlm.nih.gov/nuccore/NM_152783", "NM_152783")</f>
        <v>NM_152783</v>
      </c>
      <c r="K1708" s="12" t="s">
        <v>7337</v>
      </c>
      <c r="L1708" s="13" t="str">
        <f>HYPERLINK("http://asia.ensembl.org/Homo_sapiens/Gene/Summary?g=ENSG00000180902", "ENSG00000180902")</f>
        <v>ENSG00000180902</v>
      </c>
      <c r="M1708" s="12" t="s">
        <v>18484</v>
      </c>
      <c r="N1708" s="12" t="s">
        <v>18485</v>
      </c>
    </row>
    <row r="1709" spans="1:14">
      <c r="A1709" s="12" t="s">
        <v>9133</v>
      </c>
      <c r="B1709" s="8">
        <v>30325.0335030026</v>
      </c>
      <c r="C1709" s="12">
        <v>61282.417841841103</v>
      </c>
      <c r="D1709" s="8">
        <v>-1.0149639793696801</v>
      </c>
      <c r="E1709" s="12">
        <v>3.5142228167413E-3</v>
      </c>
      <c r="F1709" s="8" t="s">
        <v>9134</v>
      </c>
      <c r="G1709" s="12" t="s">
        <v>9135</v>
      </c>
      <c r="H1709" s="12">
        <v>1</v>
      </c>
      <c r="I1709" s="13" t="str">
        <f>HYPERLINK("http://www.ncbi.nlm.nih.gov/gene/729440", "729440")</f>
        <v>729440</v>
      </c>
      <c r="J1709" s="13" t="str">
        <f>HYPERLINK("http://www.ncbi.nlm.nih.gov/nuccore/NM_001267723", "NM_001267723")</f>
        <v>NM_001267723</v>
      </c>
      <c r="K1709" s="12" t="s">
        <v>9136</v>
      </c>
      <c r="L1709" s="13" t="str">
        <f>HYPERLINK("http://asia.ensembl.org/Homo_sapiens/Gene/Summary?g=ENSG00000104983", "ENSG00000104983")</f>
        <v>ENSG00000104983</v>
      </c>
      <c r="M1709" s="12" t="s">
        <v>19066</v>
      </c>
      <c r="N1709" s="12" t="s">
        <v>19067</v>
      </c>
    </row>
    <row r="1710" spans="1:14">
      <c r="A1710" s="12" t="s">
        <v>2655</v>
      </c>
      <c r="B1710" s="8">
        <v>263.07780592343602</v>
      </c>
      <c r="C1710" s="12">
        <v>531.54625765791502</v>
      </c>
      <c r="D1710" s="8">
        <v>-1.0147057040180001</v>
      </c>
      <c r="E1710" s="12">
        <v>1.01609087356029E-2</v>
      </c>
      <c r="F1710" s="8" t="s">
        <v>2656</v>
      </c>
      <c r="G1710" s="12" t="s">
        <v>2657</v>
      </c>
      <c r="H1710" s="12">
        <v>1</v>
      </c>
      <c r="I1710" s="13" t="str">
        <f>HYPERLINK("http://www.ncbi.nlm.nih.gov/gene/273", "273")</f>
        <v>273</v>
      </c>
      <c r="J1710" s="12" t="s">
        <v>17061</v>
      </c>
      <c r="K1710" s="12" t="s">
        <v>17062</v>
      </c>
      <c r="L1710" s="13" t="str">
        <f>HYPERLINK("http://asia.ensembl.org/Homo_sapiens/Gene/Summary?g=ENSG00000078053", "ENSG00000078053")</f>
        <v>ENSG00000078053</v>
      </c>
      <c r="M1710" s="12" t="s">
        <v>17063</v>
      </c>
      <c r="N1710" s="12" t="s">
        <v>17064</v>
      </c>
    </row>
    <row r="1711" spans="1:14">
      <c r="A1711" s="12" t="s">
        <v>4109</v>
      </c>
      <c r="B1711" s="8">
        <v>35079.732653385399</v>
      </c>
      <c r="C1711" s="12">
        <v>70874.260521756296</v>
      </c>
      <c r="D1711" s="8">
        <v>-1.01462402465533</v>
      </c>
      <c r="E1711" s="12">
        <v>2.6424033050202699E-2</v>
      </c>
      <c r="F1711" s="8" t="s">
        <v>4110</v>
      </c>
      <c r="G1711" s="12" t="s">
        <v>17560</v>
      </c>
      <c r="H1711" s="12">
        <v>1</v>
      </c>
      <c r="I1711" s="13" t="str">
        <f>HYPERLINK("http://www.ncbi.nlm.nih.gov/gene/1181", "1181")</f>
        <v>1181</v>
      </c>
      <c r="J1711" s="12" t="s">
        <v>17561</v>
      </c>
      <c r="K1711" s="12" t="s">
        <v>17562</v>
      </c>
      <c r="L1711" s="13" t="str">
        <f>HYPERLINK("http://asia.ensembl.org/Homo_sapiens/Gene/Summary?g=ENSG00000114859", "ENSG00000114859")</f>
        <v>ENSG00000114859</v>
      </c>
      <c r="M1711" s="12" t="s">
        <v>17563</v>
      </c>
      <c r="N1711" s="12" t="s">
        <v>17564</v>
      </c>
    </row>
    <row r="1712" spans="1:14">
      <c r="A1712" s="12" t="s">
        <v>11256</v>
      </c>
      <c r="B1712" s="8">
        <v>855.85770020738096</v>
      </c>
      <c r="C1712" s="12">
        <v>1728.9969817998699</v>
      </c>
      <c r="D1712" s="8">
        <v>-1.01449249960614</v>
      </c>
      <c r="E1712" s="12">
        <v>8.0927371091588304E-3</v>
      </c>
      <c r="F1712" s="8" t="s">
        <v>1666</v>
      </c>
      <c r="G1712" s="12" t="s">
        <v>16743</v>
      </c>
      <c r="H1712" s="12">
        <v>1</v>
      </c>
      <c r="I1712" s="13" t="str">
        <f>HYPERLINK("http://www.ncbi.nlm.nih.gov/gene/4929", "4929")</f>
        <v>4929</v>
      </c>
      <c r="J1712" s="13" t="str">
        <f>HYPERLINK("http://www.ncbi.nlm.nih.gov/nuccore/NM_006186", "NM_006186")</f>
        <v>NM_006186</v>
      </c>
      <c r="K1712" s="12" t="s">
        <v>1667</v>
      </c>
      <c r="L1712" s="13" t="str">
        <f>HYPERLINK("http://asia.ensembl.org/Homo_sapiens/Gene/Summary?g=ENSG00000153234", "ENSG00000153234")</f>
        <v>ENSG00000153234</v>
      </c>
      <c r="M1712" s="12" t="s">
        <v>16744</v>
      </c>
      <c r="N1712" s="12" t="s">
        <v>16745</v>
      </c>
    </row>
    <row r="1713" spans="1:14">
      <c r="A1713" s="12" t="s">
        <v>4167</v>
      </c>
      <c r="B1713" s="8">
        <v>4436.4639918233897</v>
      </c>
      <c r="C1713" s="12">
        <v>8961.4770129976405</v>
      </c>
      <c r="D1713" s="8">
        <v>-1.0143262750075901</v>
      </c>
      <c r="E1713" s="12">
        <v>6.2649830008970804E-4</v>
      </c>
      <c r="F1713" s="8" t="s">
        <v>4168</v>
      </c>
      <c r="G1713" s="12" t="s">
        <v>4169</v>
      </c>
      <c r="H1713" s="12">
        <v>1</v>
      </c>
      <c r="I1713" s="13" t="str">
        <f>HYPERLINK("http://www.ncbi.nlm.nih.gov/gene/770", "770")</f>
        <v>770</v>
      </c>
      <c r="J1713" s="13" t="str">
        <f>HYPERLINK("http://www.ncbi.nlm.nih.gov/nuccore/NM_001217", "NM_001217")</f>
        <v>NM_001217</v>
      </c>
      <c r="K1713" s="12" t="s">
        <v>4170</v>
      </c>
      <c r="L1713" s="13" t="str">
        <f>HYPERLINK("http://asia.ensembl.org/Homo_sapiens/Gene/Summary?g=ENSG00000063180", "ENSG00000063180")</f>
        <v>ENSG00000063180</v>
      </c>
      <c r="M1713" s="12" t="s">
        <v>17595</v>
      </c>
      <c r="N1713" s="12" t="s">
        <v>17596</v>
      </c>
    </row>
    <row r="1714" spans="1:14">
      <c r="A1714" s="12" t="s">
        <v>1947</v>
      </c>
      <c r="B1714" s="8">
        <v>3153.6295872662699</v>
      </c>
      <c r="C1714" s="12">
        <v>6370.0728211116602</v>
      </c>
      <c r="D1714" s="8">
        <v>-1.0142966482292299</v>
      </c>
      <c r="E1714" s="12">
        <v>1.42414657773446E-2</v>
      </c>
      <c r="F1714" s="8" t="s">
        <v>1948</v>
      </c>
      <c r="G1714" s="12" t="s">
        <v>1949</v>
      </c>
      <c r="H1714" s="12">
        <v>1</v>
      </c>
      <c r="I1714" s="13" t="str">
        <f>HYPERLINK("http://www.ncbi.nlm.nih.gov/gene/970", "970")</f>
        <v>970</v>
      </c>
      <c r="J1714" s="13" t="str">
        <f>HYPERLINK("http://www.ncbi.nlm.nih.gov/nuccore/NM_001252", "NM_001252")</f>
        <v>NM_001252</v>
      </c>
      <c r="K1714" s="12" t="s">
        <v>1950</v>
      </c>
      <c r="L1714" s="13" t="str">
        <f>HYPERLINK("http://asia.ensembl.org/Homo_sapiens/Gene/Summary?g=ENSG00000125726", "ENSG00000125726")</f>
        <v>ENSG00000125726</v>
      </c>
      <c r="M1714" s="12" t="s">
        <v>16848</v>
      </c>
      <c r="N1714" s="12" t="s">
        <v>16849</v>
      </c>
    </row>
    <row r="1715" spans="1:14">
      <c r="A1715" s="12" t="s">
        <v>9546</v>
      </c>
      <c r="B1715" s="8">
        <v>1886.7366453019299</v>
      </c>
      <c r="C1715" s="12">
        <v>3811.0394132566798</v>
      </c>
      <c r="D1715" s="8">
        <v>-1.0142914658241999</v>
      </c>
      <c r="E1715" s="12">
        <v>1.2875919562237799E-2</v>
      </c>
      <c r="F1715" s="8" t="s">
        <v>9547</v>
      </c>
      <c r="G1715" s="12" t="s">
        <v>9548</v>
      </c>
      <c r="H1715" s="12">
        <v>1</v>
      </c>
      <c r="I1715" s="13" t="str">
        <f>HYPERLINK("http://www.ncbi.nlm.nih.gov/gene/51390", "51390")</f>
        <v>51390</v>
      </c>
      <c r="J1715" s="13" t="str">
        <f>HYPERLINK("http://www.ncbi.nlm.nih.gov/nuccore/NM_016108", "NM_016108")</f>
        <v>NM_016108</v>
      </c>
      <c r="K1715" s="12" t="s">
        <v>9549</v>
      </c>
      <c r="L1715" s="13" t="str">
        <f>HYPERLINK("http://asia.ensembl.org/Homo_sapiens/Gene/Summary?g=ENSG00000146416", "ENSG00000146416")</f>
        <v>ENSG00000146416</v>
      </c>
      <c r="M1715" s="12" t="s">
        <v>19185</v>
      </c>
      <c r="N1715" s="12" t="s">
        <v>19186</v>
      </c>
    </row>
    <row r="1716" spans="1:14">
      <c r="A1716" s="12" t="s">
        <v>2622</v>
      </c>
      <c r="B1716" s="8">
        <v>30336.107054169399</v>
      </c>
      <c r="C1716" s="12">
        <v>61238.946412854297</v>
      </c>
      <c r="D1716" s="8">
        <v>-1.01341350162877</v>
      </c>
      <c r="E1716" s="12">
        <v>3.6460465629831501E-3</v>
      </c>
      <c r="F1716" s="8" t="s">
        <v>2623</v>
      </c>
      <c r="G1716" s="12" t="s">
        <v>41</v>
      </c>
      <c r="H1716" s="12">
        <v>1</v>
      </c>
      <c r="I1716" s="13" t="str">
        <f>HYPERLINK("http://www.ncbi.nlm.nih.gov/gene/3028", "3028")</f>
        <v>3028</v>
      </c>
      <c r="J1716" s="12" t="s">
        <v>17048</v>
      </c>
      <c r="K1716" s="12" t="s">
        <v>17049</v>
      </c>
      <c r="L1716" s="13" t="str">
        <f>HYPERLINK("http://asia.ensembl.org/Homo_sapiens/Gene/Summary?g=ENSG00000072506", "ENSG00000072506")</f>
        <v>ENSG00000072506</v>
      </c>
      <c r="M1716" s="12" t="s">
        <v>17050</v>
      </c>
      <c r="N1716" s="12" t="s">
        <v>17051</v>
      </c>
    </row>
    <row r="1717" spans="1:14">
      <c r="A1717" s="12" t="s">
        <v>954</v>
      </c>
      <c r="B1717" s="8">
        <v>721.66881702886099</v>
      </c>
      <c r="C1717" s="12">
        <v>1456.70762506504</v>
      </c>
      <c r="D1717" s="8">
        <v>-1.0133025209332001</v>
      </c>
      <c r="E1717" s="12">
        <v>1.4455519386217201E-2</v>
      </c>
      <c r="F1717" s="8" t="s">
        <v>955</v>
      </c>
      <c r="G1717" s="12" t="s">
        <v>956</v>
      </c>
      <c r="H1717" s="12">
        <v>1</v>
      </c>
      <c r="I1717" s="13" t="str">
        <f>HYPERLINK("http://www.ncbi.nlm.nih.gov/gene/192668", "192668")</f>
        <v>192668</v>
      </c>
      <c r="J1717" s="13" t="str">
        <f>HYPERLINK("http://www.ncbi.nlm.nih.gov/nuccore/NM_001037160", "NM_001037160")</f>
        <v>NM_001037160</v>
      </c>
      <c r="K1717" s="12" t="s">
        <v>957</v>
      </c>
      <c r="L1717" s="13" t="str">
        <f>HYPERLINK("http://asia.ensembl.org/Homo_sapiens/Gene/Summary?g=ENSG00000205795", "ENSG00000205795")</f>
        <v>ENSG00000205795</v>
      </c>
      <c r="M1717" s="12" t="s">
        <v>16473</v>
      </c>
      <c r="N1717" s="12" t="s">
        <v>958</v>
      </c>
    </row>
    <row r="1718" spans="1:14">
      <c r="A1718" s="12" t="s">
        <v>889</v>
      </c>
      <c r="B1718" s="8">
        <v>3527.2658970519101</v>
      </c>
      <c r="C1718" s="12">
        <v>7119.7034841928999</v>
      </c>
      <c r="D1718" s="8">
        <v>-1.0132668231941899</v>
      </c>
      <c r="E1718" s="12">
        <v>1.35792971426718E-2</v>
      </c>
      <c r="F1718" s="8" t="s">
        <v>890</v>
      </c>
      <c r="G1718" s="12" t="s">
        <v>891</v>
      </c>
      <c r="H1718" s="12">
        <v>1</v>
      </c>
      <c r="I1718" s="13" t="str">
        <f>HYPERLINK("http://www.ncbi.nlm.nih.gov/gene/64112", "64112")</f>
        <v>64112</v>
      </c>
      <c r="J1718" s="13" t="str">
        <f>HYPERLINK("http://www.ncbi.nlm.nih.gov/nuccore/NM_022151", "NM_022151")</f>
        <v>NM_022151</v>
      </c>
      <c r="K1718" s="12" t="s">
        <v>892</v>
      </c>
      <c r="L1718" s="13" t="str">
        <f>HYPERLINK("http://asia.ensembl.org/Homo_sapiens/Gene/Summary?g=ENSG00000165943", "ENSG00000165943")</f>
        <v>ENSG00000165943</v>
      </c>
      <c r="M1718" s="12" t="s">
        <v>16462</v>
      </c>
      <c r="N1718" s="12" t="s">
        <v>16463</v>
      </c>
    </row>
    <row r="1719" spans="1:14">
      <c r="A1719" s="12" t="s">
        <v>3622</v>
      </c>
      <c r="B1719" s="8">
        <v>1086.10774175903</v>
      </c>
      <c r="C1719" s="12">
        <v>2191.8483034227502</v>
      </c>
      <c r="D1719" s="8">
        <v>-1.01298072823039</v>
      </c>
      <c r="E1719" s="12">
        <v>1.52451294497909E-3</v>
      </c>
      <c r="F1719" s="8" t="s">
        <v>3623</v>
      </c>
      <c r="G1719" s="12" t="s">
        <v>17354</v>
      </c>
      <c r="H1719" s="12">
        <v>1</v>
      </c>
      <c r="I1719" s="13" t="str">
        <f>HYPERLINK("http://www.ncbi.nlm.nih.gov/gene/84895", "84895")</f>
        <v>84895</v>
      </c>
      <c r="J1719" s="13" t="str">
        <f>HYPERLINK("http://www.ncbi.nlm.nih.gov/nuccore/NM_032809", "NM_032809")</f>
        <v>NM_032809</v>
      </c>
      <c r="K1719" s="12" t="s">
        <v>3624</v>
      </c>
      <c r="L1719" s="13" t="str">
        <f>HYPERLINK("http://asia.ensembl.org/Homo_sapiens/Gene/Summary?g=ENSG00000148343", "ENSG00000148343")</f>
        <v>ENSG00000148343</v>
      </c>
      <c r="M1719" s="12" t="s">
        <v>17355</v>
      </c>
      <c r="N1719" s="12" t="s">
        <v>17356</v>
      </c>
    </row>
    <row r="1720" spans="1:14">
      <c r="A1720" s="12" t="s">
        <v>6458</v>
      </c>
      <c r="B1720" s="8">
        <v>767.53002894963902</v>
      </c>
      <c r="C1720" s="12">
        <v>1548.70916591325</v>
      </c>
      <c r="D1720" s="8">
        <v>-1.0127711431078099</v>
      </c>
      <c r="E1720" s="12">
        <v>2.19656336285649E-3</v>
      </c>
      <c r="F1720" s="8" t="s">
        <v>6459</v>
      </c>
      <c r="G1720" s="12" t="s">
        <v>93</v>
      </c>
      <c r="H1720" s="12">
        <v>1</v>
      </c>
      <c r="I1720" s="13" t="str">
        <f>HYPERLINK("http://www.ncbi.nlm.nih.gov/gene/55192", "55192")</f>
        <v>55192</v>
      </c>
      <c r="J1720" s="13" t="str">
        <f>HYPERLINK("http://www.ncbi.nlm.nih.gov/nuccore/NM_018163", "NM_018163")</f>
        <v>NM_018163</v>
      </c>
      <c r="K1720" s="12" t="s">
        <v>6460</v>
      </c>
      <c r="L1720" s="13" t="str">
        <f>HYPERLINK("http://asia.ensembl.org/Homo_sapiens/Gene/Summary?g=ENSG00000104129", "ENSG00000104129")</f>
        <v>ENSG00000104129</v>
      </c>
      <c r="M1720" s="12" t="s">
        <v>18175</v>
      </c>
      <c r="N1720" s="12" t="s">
        <v>18176</v>
      </c>
    </row>
    <row r="1721" spans="1:14">
      <c r="A1721" s="12" t="s">
        <v>5263</v>
      </c>
      <c r="B1721" s="8">
        <v>49.999999999999901</v>
      </c>
      <c r="C1721" s="12">
        <v>100.776726570932</v>
      </c>
      <c r="D1721" s="8">
        <v>-1.01116250056913</v>
      </c>
      <c r="E1721" s="12">
        <v>4.7100860750877197E-5</v>
      </c>
      <c r="F1721" s="8" t="s">
        <v>5264</v>
      </c>
      <c r="G1721" s="12" t="s">
        <v>5265</v>
      </c>
      <c r="H1721" s="12">
        <v>1</v>
      </c>
      <c r="I1721" s="13" t="str">
        <f>HYPERLINK("http://www.ncbi.nlm.nih.gov/gene/404037", "404037")</f>
        <v>404037</v>
      </c>
      <c r="J1721" s="13" t="str">
        <f>HYPERLINK("http://www.ncbi.nlm.nih.gov/nuccore/NM_023002", "NM_023002")</f>
        <v>NM_023002</v>
      </c>
      <c r="K1721" s="12" t="s">
        <v>5266</v>
      </c>
      <c r="L1721" s="13" t="str">
        <f>HYPERLINK("http://asia.ensembl.org/Homo_sapiens/Gene/Summary?g=ENSG00000187664", "ENSG00000187664")</f>
        <v>ENSG00000187664</v>
      </c>
      <c r="M1721" s="12" t="s">
        <v>17838</v>
      </c>
      <c r="N1721" s="12" t="s">
        <v>5267</v>
      </c>
    </row>
    <row r="1722" spans="1:14">
      <c r="A1722" s="12" t="s">
        <v>1386</v>
      </c>
      <c r="B1722" s="8">
        <v>6255.7025406110497</v>
      </c>
      <c r="C1722" s="12">
        <v>12606.736060241399</v>
      </c>
      <c r="D1722" s="8">
        <v>-1.0109509848093301</v>
      </c>
      <c r="E1722" s="12">
        <v>1.97113272503294E-2</v>
      </c>
      <c r="F1722" s="8" t="s">
        <v>1387</v>
      </c>
      <c r="G1722" s="12" t="s">
        <v>16600</v>
      </c>
      <c r="H1722" s="12">
        <v>1</v>
      </c>
      <c r="I1722" s="13" t="str">
        <f>HYPERLINK("http://www.ncbi.nlm.nih.gov/gene/30833", "30833")</f>
        <v>30833</v>
      </c>
      <c r="J1722" s="12" t="s">
        <v>16601</v>
      </c>
      <c r="K1722" s="12" t="s">
        <v>16602</v>
      </c>
      <c r="L1722" s="13" t="str">
        <f>HYPERLINK("http://asia.ensembl.org/Homo_sapiens/Gene/Summary?g=ENSG00000125458", "ENSG00000125458")</f>
        <v>ENSG00000125458</v>
      </c>
      <c r="M1722" s="12" t="s">
        <v>16603</v>
      </c>
      <c r="N1722" s="12" t="s">
        <v>16604</v>
      </c>
    </row>
    <row r="1723" spans="1:14">
      <c r="A1723" s="12" t="s">
        <v>6453</v>
      </c>
      <c r="B1723" s="8">
        <v>29094.6338357651</v>
      </c>
      <c r="C1723" s="12">
        <v>58618.212949353503</v>
      </c>
      <c r="D1723" s="8">
        <v>-1.0105958968314099</v>
      </c>
      <c r="E1723" s="12">
        <v>3.8907813209633E-3</v>
      </c>
      <c r="F1723" s="8" t="s">
        <v>6454</v>
      </c>
      <c r="G1723" s="12" t="s">
        <v>6455</v>
      </c>
      <c r="H1723" s="12">
        <v>1</v>
      </c>
      <c r="I1723" s="13" t="str">
        <f>HYPERLINK("http://www.ncbi.nlm.nih.gov/gene/84418", "84418")</f>
        <v>84418</v>
      </c>
      <c r="J1723" s="13" t="str">
        <f>HYPERLINK("http://www.ncbi.nlm.nih.gov/nuccore/NM_032412", "NM_032412")</f>
        <v>NM_032412</v>
      </c>
      <c r="K1723" s="12" t="s">
        <v>6456</v>
      </c>
      <c r="L1723" s="13" t="str">
        <f>HYPERLINK("http://asia.ensembl.org/Homo_sapiens/Gene/Summary?g=ENSG00000120306", "ENSG00000120306")</f>
        <v>ENSG00000120306</v>
      </c>
      <c r="M1723" s="12" t="s">
        <v>18174</v>
      </c>
      <c r="N1723" s="12" t="s">
        <v>6457</v>
      </c>
    </row>
    <row r="1724" spans="1:14">
      <c r="A1724" s="12" t="s">
        <v>8437</v>
      </c>
      <c r="B1724" s="8">
        <v>75823.521497193098</v>
      </c>
      <c r="C1724" s="12">
        <v>152751.25618970799</v>
      </c>
      <c r="D1724" s="8">
        <v>-1.0104668777249699</v>
      </c>
      <c r="E1724" s="12">
        <v>9.6400889209745204E-3</v>
      </c>
      <c r="F1724" s="8" t="s">
        <v>8438</v>
      </c>
      <c r="G1724" s="12" t="s">
        <v>8439</v>
      </c>
      <c r="H1724" s="12">
        <v>4</v>
      </c>
      <c r="I1724" s="12" t="s">
        <v>8440</v>
      </c>
      <c r="J1724" s="12" t="s">
        <v>18829</v>
      </c>
      <c r="K1724" s="12" t="s">
        <v>18830</v>
      </c>
      <c r="L1724" s="12" t="s">
        <v>8441</v>
      </c>
      <c r="M1724" s="12" t="s">
        <v>18831</v>
      </c>
      <c r="N1724" s="12" t="s">
        <v>18832</v>
      </c>
    </row>
    <row r="1725" spans="1:14">
      <c r="A1725" s="12" t="s">
        <v>9412</v>
      </c>
      <c r="B1725" s="8">
        <v>2085.68359740907</v>
      </c>
      <c r="C1725" s="12">
        <v>4201.0960054685202</v>
      </c>
      <c r="D1725" s="8">
        <v>-1.01024544077982</v>
      </c>
      <c r="E1725" s="12">
        <v>3.9381975820526102E-3</v>
      </c>
      <c r="F1725" s="8" t="s">
        <v>9413</v>
      </c>
      <c r="G1725" s="12" t="s">
        <v>9414</v>
      </c>
      <c r="H1725" s="12">
        <v>1</v>
      </c>
      <c r="I1725" s="13" t="str">
        <f>HYPERLINK("http://www.ncbi.nlm.nih.gov/gene/644096", "644096")</f>
        <v>644096</v>
      </c>
      <c r="J1725" s="13" t="str">
        <f>HYPERLINK("http://www.ncbi.nlm.nih.gov/nuccore/NM_001042631", "NM_001042631")</f>
        <v>NM_001042631</v>
      </c>
      <c r="K1725" s="12" t="s">
        <v>9415</v>
      </c>
      <c r="L1725" s="13" t="str">
        <f>HYPERLINK("http://asia.ensembl.org/Homo_sapiens/Gene/Summary?g=ENSG00000205138", "ENSG00000205138")</f>
        <v>ENSG00000205138</v>
      </c>
      <c r="M1725" s="12" t="s">
        <v>9416</v>
      </c>
      <c r="N1725" s="12" t="s">
        <v>9417</v>
      </c>
    </row>
    <row r="1726" spans="1:14">
      <c r="A1726" s="12" t="s">
        <v>3818</v>
      </c>
      <c r="B1726" s="8">
        <v>1268.38046116839</v>
      </c>
      <c r="C1726" s="12">
        <v>2554.7916972591202</v>
      </c>
      <c r="D1726" s="8">
        <v>-1.0102181084041799</v>
      </c>
      <c r="E1726" s="12">
        <v>7.2304200583263104E-3</v>
      </c>
      <c r="F1726" s="8" t="s">
        <v>3819</v>
      </c>
      <c r="G1726" s="12" t="s">
        <v>17431</v>
      </c>
      <c r="H1726" s="12">
        <v>1</v>
      </c>
      <c r="I1726" s="13" t="str">
        <f>HYPERLINK("http://www.ncbi.nlm.nih.gov/gene/5914", "5914")</f>
        <v>5914</v>
      </c>
      <c r="J1726" s="12" t="s">
        <v>17432</v>
      </c>
      <c r="K1726" s="12" t="s">
        <v>17433</v>
      </c>
      <c r="L1726" s="13" t="str">
        <f>HYPERLINK("http://asia.ensembl.org/Homo_sapiens/Gene/Summary?g=ENSG00000131759", "ENSG00000131759")</f>
        <v>ENSG00000131759</v>
      </c>
      <c r="M1726" s="12" t="s">
        <v>17434</v>
      </c>
      <c r="N1726" s="12" t="s">
        <v>17435</v>
      </c>
    </row>
    <row r="1727" spans="1:14">
      <c r="A1727" s="12" t="s">
        <v>11614</v>
      </c>
      <c r="B1727" s="8">
        <v>2102.44477326067</v>
      </c>
      <c r="C1727" s="12">
        <v>4234.2972695011404</v>
      </c>
      <c r="D1727" s="8">
        <v>-1.01005465307477</v>
      </c>
      <c r="E1727" s="12">
        <v>5.0951167800249997E-3</v>
      </c>
      <c r="F1727" s="8" t="s">
        <v>11615</v>
      </c>
      <c r="G1727" s="12" t="s">
        <v>20144</v>
      </c>
      <c r="H1727" s="12">
        <v>4</v>
      </c>
      <c r="I1727" s="12" t="s">
        <v>11616</v>
      </c>
      <c r="J1727" s="12" t="s">
        <v>20145</v>
      </c>
      <c r="K1727" s="12" t="s">
        <v>20146</v>
      </c>
      <c r="L1727" s="13" t="str">
        <f>HYPERLINK("http://asia.ensembl.org/Homo_sapiens/Gene/Summary?g=ENSG00000109113", "ENSG00000109113")</f>
        <v>ENSG00000109113</v>
      </c>
      <c r="M1727" s="12" t="s">
        <v>20147</v>
      </c>
      <c r="N1727" s="12" t="s">
        <v>20148</v>
      </c>
    </row>
    <row r="1728" spans="1:14">
      <c r="A1728" s="12" t="s">
        <v>203</v>
      </c>
      <c r="B1728" s="8">
        <v>1633.00922588567</v>
      </c>
      <c r="C1728" s="12">
        <v>3288.5468639918499</v>
      </c>
      <c r="D1728" s="8">
        <v>-1.0099172881828899</v>
      </c>
      <c r="E1728" s="12">
        <v>1.24053544253649E-2</v>
      </c>
      <c r="F1728" s="8" t="s">
        <v>204</v>
      </c>
      <c r="G1728" s="12" t="s">
        <v>205</v>
      </c>
      <c r="H1728" s="12">
        <v>1</v>
      </c>
      <c r="I1728" s="13" t="str">
        <f>HYPERLINK("http://www.ncbi.nlm.nih.gov/gene/26022", "26022")</f>
        <v>26022</v>
      </c>
      <c r="J1728" s="12" t="s">
        <v>16280</v>
      </c>
      <c r="K1728" s="12" t="s">
        <v>16281</v>
      </c>
      <c r="L1728" s="13" t="str">
        <f>HYPERLINK("http://asia.ensembl.org/Homo_sapiens/Gene/Summary?g=ENSG00000006042", "ENSG00000006042")</f>
        <v>ENSG00000006042</v>
      </c>
      <c r="M1728" s="12" t="s">
        <v>16282</v>
      </c>
      <c r="N1728" s="12" t="s">
        <v>16283</v>
      </c>
    </row>
    <row r="1729" spans="1:14">
      <c r="A1729" s="12" t="s">
        <v>9625</v>
      </c>
      <c r="B1729" s="8">
        <v>420.27613124237598</v>
      </c>
      <c r="C1729" s="12">
        <v>846.27563519009902</v>
      </c>
      <c r="D1729" s="8">
        <v>-1.00979010735688</v>
      </c>
      <c r="E1729" s="12">
        <v>2.1785101195991E-3</v>
      </c>
      <c r="F1729" s="8" t="s">
        <v>9626</v>
      </c>
      <c r="G1729" s="12" t="s">
        <v>9627</v>
      </c>
      <c r="H1729" s="12">
        <v>1</v>
      </c>
      <c r="I1729" s="13" t="str">
        <f>HYPERLINK("http://www.ncbi.nlm.nih.gov/gene/113177", "113177")</f>
        <v>113177</v>
      </c>
      <c r="J1729" s="12" t="s">
        <v>19235</v>
      </c>
      <c r="K1729" s="12" t="s">
        <v>19236</v>
      </c>
      <c r="L1729" s="13" t="str">
        <f>HYPERLINK("http://asia.ensembl.org/Homo_sapiens/Gene/Summary?g=ENSG00000099840", "ENSG00000099840")</f>
        <v>ENSG00000099840</v>
      </c>
      <c r="M1729" s="12" t="s">
        <v>19237</v>
      </c>
      <c r="N1729" s="12" t="s">
        <v>19238</v>
      </c>
    </row>
    <row r="1730" spans="1:14">
      <c r="A1730" s="12" t="s">
        <v>5064</v>
      </c>
      <c r="B1730" s="8">
        <v>2309.7357560376499</v>
      </c>
      <c r="C1730" s="12">
        <v>4650.0707977680704</v>
      </c>
      <c r="D1730" s="8">
        <v>-1.0095248711532301</v>
      </c>
      <c r="E1730" s="12">
        <v>1.6933413016095599E-3</v>
      </c>
      <c r="F1730" s="8" t="s">
        <v>5065</v>
      </c>
      <c r="G1730" s="12" t="s">
        <v>17788</v>
      </c>
      <c r="H1730" s="12">
        <v>1</v>
      </c>
      <c r="I1730" s="13" t="str">
        <f>HYPERLINK("http://www.ncbi.nlm.nih.gov/gene/2537", "2537")</f>
        <v>2537</v>
      </c>
      <c r="J1730" s="12" t="s">
        <v>17789</v>
      </c>
      <c r="K1730" s="12" t="s">
        <v>17790</v>
      </c>
      <c r="L1730" s="13" t="str">
        <f>HYPERLINK("http://asia.ensembl.org/Homo_sapiens/Gene/Summary?g=ENSG00000126709", "ENSG00000126709")</f>
        <v>ENSG00000126709</v>
      </c>
      <c r="M1730" s="12" t="s">
        <v>17791</v>
      </c>
      <c r="N1730" s="12" t="s">
        <v>17792</v>
      </c>
    </row>
    <row r="1731" spans="1:14">
      <c r="A1731" s="12" t="s">
        <v>88</v>
      </c>
      <c r="B1731" s="8">
        <v>63.746508599411598</v>
      </c>
      <c r="C1731" s="12">
        <v>128.31706666647199</v>
      </c>
      <c r="D1731" s="8">
        <v>-1.0092948344703201</v>
      </c>
      <c r="E1731" s="12">
        <v>3.0833084009047801E-2</v>
      </c>
      <c r="F1731" s="8" t="s">
        <v>89</v>
      </c>
      <c r="G1731" s="12" t="s">
        <v>90</v>
      </c>
      <c r="H1731" s="12">
        <v>1</v>
      </c>
      <c r="I1731" s="13" t="str">
        <f>HYPERLINK("http://www.ncbi.nlm.nih.gov/gene/6440", "6440")</f>
        <v>6440</v>
      </c>
      <c r="J1731" s="12" t="s">
        <v>16247</v>
      </c>
      <c r="K1731" s="12" t="s">
        <v>16248</v>
      </c>
      <c r="L1731" s="13" t="str">
        <f>HYPERLINK("http://asia.ensembl.org/Homo_sapiens/Gene/Summary?g=ENSG00000168484", "ENSG00000168484")</f>
        <v>ENSG00000168484</v>
      </c>
      <c r="M1731" s="12" t="s">
        <v>16249</v>
      </c>
      <c r="N1731" s="12" t="s">
        <v>16250</v>
      </c>
    </row>
    <row r="1732" spans="1:14">
      <c r="A1732" s="12" t="s">
        <v>10610</v>
      </c>
      <c r="B1732" s="8">
        <v>844.22524077598803</v>
      </c>
      <c r="C1732" s="12">
        <v>1699.21223941261</v>
      </c>
      <c r="D1732" s="8">
        <v>-1.0091661940422301</v>
      </c>
      <c r="E1732" s="12">
        <v>2.04823527049991E-2</v>
      </c>
      <c r="F1732" s="8" t="s">
        <v>3787</v>
      </c>
      <c r="G1732" s="12" t="s">
        <v>3788</v>
      </c>
      <c r="H1732" s="12">
        <v>1</v>
      </c>
      <c r="I1732" s="13" t="str">
        <f>HYPERLINK("http://www.ncbi.nlm.nih.gov/gene/149603", "149603")</f>
        <v>149603</v>
      </c>
      <c r="J1732" s="13" t="str">
        <f>HYPERLINK("http://www.ncbi.nlm.nih.gov/nuccore/NM_001010858", "NM_001010858")</f>
        <v>NM_001010858</v>
      </c>
      <c r="K1732" s="12" t="s">
        <v>3789</v>
      </c>
      <c r="L1732" s="13" t="str">
        <f>HYPERLINK("http://asia.ensembl.org/Homo_sapiens/Gene/Summary?g=ENSG00000168159", "ENSG00000168159")</f>
        <v>ENSG00000168159</v>
      </c>
      <c r="M1732" s="12" t="s">
        <v>17423</v>
      </c>
      <c r="N1732" s="12" t="s">
        <v>3790</v>
      </c>
    </row>
    <row r="1733" spans="1:14">
      <c r="A1733" s="12" t="s">
        <v>11372</v>
      </c>
      <c r="B1733" s="8">
        <v>71245.864796530601</v>
      </c>
      <c r="C1733" s="12">
        <v>143384.09862001901</v>
      </c>
      <c r="D1733" s="8">
        <v>-1.0090068513970201</v>
      </c>
      <c r="E1733" s="12">
        <v>2.0211707789024799E-2</v>
      </c>
      <c r="F1733" s="8" t="s">
        <v>2786</v>
      </c>
      <c r="G1733" s="12" t="s">
        <v>2787</v>
      </c>
      <c r="H1733" s="12">
        <v>4</v>
      </c>
      <c r="I1733" s="12" t="s">
        <v>2788</v>
      </c>
      <c r="J1733" s="12" t="s">
        <v>20096</v>
      </c>
      <c r="K1733" s="12" t="s">
        <v>20097</v>
      </c>
      <c r="L1733" s="12" t="s">
        <v>2789</v>
      </c>
      <c r="M1733" s="12" t="s">
        <v>17116</v>
      </c>
      <c r="N1733" s="12" t="s">
        <v>17117</v>
      </c>
    </row>
    <row r="1734" spans="1:14">
      <c r="A1734" s="12" t="s">
        <v>6119</v>
      </c>
      <c r="B1734" s="8">
        <v>969.49139620175004</v>
      </c>
      <c r="C1734" s="12">
        <v>1951.0519083832701</v>
      </c>
      <c r="D1734" s="8">
        <v>-1.0089521616030599</v>
      </c>
      <c r="E1734" s="12">
        <v>1.3947676372054799E-2</v>
      </c>
      <c r="F1734" s="8" t="s">
        <v>6120</v>
      </c>
      <c r="G1734" s="12" t="s">
        <v>6121</v>
      </c>
      <c r="H1734" s="12">
        <v>1</v>
      </c>
      <c r="I1734" s="13" t="str">
        <f>HYPERLINK("http://www.ncbi.nlm.nih.gov/gene/10297", "10297")</f>
        <v>10297</v>
      </c>
      <c r="J1734" s="13" t="str">
        <f>HYPERLINK("http://www.ncbi.nlm.nih.gov/nuccore/NM_005883", "NM_005883")</f>
        <v>NM_005883</v>
      </c>
      <c r="K1734" s="12" t="s">
        <v>6122</v>
      </c>
      <c r="L1734" s="13" t="str">
        <f>HYPERLINK("http://asia.ensembl.org/Homo_sapiens/Gene/Summary?g=ENSG00000115266", "ENSG00000115266")</f>
        <v>ENSG00000115266</v>
      </c>
      <c r="M1734" s="12" t="s">
        <v>18060</v>
      </c>
      <c r="N1734" s="12" t="s">
        <v>18061</v>
      </c>
    </row>
    <row r="1735" spans="1:14">
      <c r="A1735" s="12" t="s">
        <v>1905</v>
      </c>
      <c r="B1735" s="8">
        <v>63.952570351425898</v>
      </c>
      <c r="C1735" s="12">
        <v>128.685265605984</v>
      </c>
      <c r="D1735" s="8">
        <v>-1.0087726257042799</v>
      </c>
      <c r="E1735" s="12">
        <v>1.5409024423663001E-2</v>
      </c>
      <c r="F1735" s="8" t="s">
        <v>1906</v>
      </c>
      <c r="G1735" s="12" t="s">
        <v>1907</v>
      </c>
      <c r="H1735" s="12">
        <v>1</v>
      </c>
      <c r="I1735" s="13" t="str">
        <f>HYPERLINK("http://www.ncbi.nlm.nih.gov/gene/121273", "121273")</f>
        <v>121273</v>
      </c>
      <c r="J1735" s="13" t="str">
        <f>HYPERLINK("http://www.ncbi.nlm.nih.gov/nuccore/NM_152319", "NM_152319")</f>
        <v>NM_152319</v>
      </c>
      <c r="K1735" s="12" t="s">
        <v>1908</v>
      </c>
      <c r="L1735" s="13" t="str">
        <f>HYPERLINK("http://asia.ensembl.org/Homo_sapiens/Gene/Summary?g=ENSG00000177627", "ENSG00000177627")</f>
        <v>ENSG00000177627</v>
      </c>
      <c r="M1735" s="12" t="s">
        <v>16834</v>
      </c>
      <c r="N1735" s="12" t="s">
        <v>16835</v>
      </c>
    </row>
    <row r="1736" spans="1:14">
      <c r="A1736" s="12" t="s">
        <v>1541</v>
      </c>
      <c r="B1736" s="8">
        <v>20085.5878117832</v>
      </c>
      <c r="C1736" s="12">
        <v>40412.227786360803</v>
      </c>
      <c r="D1736" s="8">
        <v>-1.0086312015235599</v>
      </c>
      <c r="E1736" s="12">
        <v>9.9608635267015994E-3</v>
      </c>
      <c r="F1736" s="8" t="s">
        <v>1542</v>
      </c>
      <c r="G1736" s="12" t="s">
        <v>16677</v>
      </c>
      <c r="H1736" s="12">
        <v>1</v>
      </c>
      <c r="I1736" s="13" t="str">
        <f>HYPERLINK("http://www.ncbi.nlm.nih.gov/gene/1892", "1892")</f>
        <v>1892</v>
      </c>
      <c r="J1736" s="13" t="str">
        <f>HYPERLINK("http://www.ncbi.nlm.nih.gov/nuccore/NM_004092", "NM_004092")</f>
        <v>NM_004092</v>
      </c>
      <c r="K1736" s="12" t="s">
        <v>1543</v>
      </c>
      <c r="L1736" s="13" t="str">
        <f>HYPERLINK("http://asia.ensembl.org/Homo_sapiens/Gene/Summary?g=ENSG00000127884", "ENSG00000127884")</f>
        <v>ENSG00000127884</v>
      </c>
      <c r="M1736" s="12" t="s">
        <v>1544</v>
      </c>
      <c r="N1736" s="12" t="s">
        <v>1545</v>
      </c>
    </row>
    <row r="1737" spans="1:14">
      <c r="A1737" s="12" t="s">
        <v>6924</v>
      </c>
      <c r="B1737" s="8">
        <v>2643.5751536651401</v>
      </c>
      <c r="C1737" s="12">
        <v>5317.9752363954703</v>
      </c>
      <c r="D1737" s="8">
        <v>-1.0083867177905601</v>
      </c>
      <c r="E1737" s="12">
        <v>2.6833654007048902E-2</v>
      </c>
      <c r="F1737" s="8" t="s">
        <v>6925</v>
      </c>
      <c r="G1737" s="12" t="s">
        <v>6926</v>
      </c>
      <c r="H1737" s="12">
        <v>1</v>
      </c>
      <c r="I1737" s="13" t="str">
        <f>HYPERLINK("http://www.ncbi.nlm.nih.gov/gene/5196", "5196")</f>
        <v>5196</v>
      </c>
      <c r="J1737" s="13" t="str">
        <f>HYPERLINK("http://www.ncbi.nlm.nih.gov/nuccore/NM_002619", "NM_002619")</f>
        <v>NM_002619</v>
      </c>
      <c r="K1737" s="12" t="s">
        <v>6927</v>
      </c>
      <c r="L1737" s="13" t="str">
        <f>HYPERLINK("http://asia.ensembl.org/Homo_sapiens/Gene/Summary?g=ENSG00000163737", "ENSG00000163737")</f>
        <v>ENSG00000163737</v>
      </c>
      <c r="M1737" s="12" t="s">
        <v>6928</v>
      </c>
      <c r="N1737" s="12" t="s">
        <v>6929</v>
      </c>
    </row>
    <row r="1738" spans="1:14">
      <c r="A1738" s="12" t="s">
        <v>9424</v>
      </c>
      <c r="B1738" s="8">
        <v>7528.2607095508101</v>
      </c>
      <c r="C1738" s="12">
        <v>15137.8068240473</v>
      </c>
      <c r="D1738" s="8">
        <v>-1.00776770610458</v>
      </c>
      <c r="E1738" s="12">
        <v>1.2296857224840601E-2</v>
      </c>
      <c r="F1738" s="8" t="s">
        <v>9425</v>
      </c>
      <c r="G1738" s="12" t="s">
        <v>9426</v>
      </c>
      <c r="H1738" s="12">
        <v>1</v>
      </c>
      <c r="I1738" s="13" t="str">
        <f>HYPERLINK("http://www.ncbi.nlm.nih.gov/gene/144363", "144363")</f>
        <v>144363</v>
      </c>
      <c r="J1738" s="13" t="str">
        <f>HYPERLINK("http://www.ncbi.nlm.nih.gov/nuccore/NM_001001660", "NM_001001660")</f>
        <v>NM_001001660</v>
      </c>
      <c r="K1738" s="12" t="s">
        <v>9427</v>
      </c>
      <c r="L1738" s="13" t="str">
        <f>HYPERLINK("http://asia.ensembl.org/Homo_sapiens/Gene/Summary?g=ENSG00000205707", "ENSG00000205707")</f>
        <v>ENSG00000205707</v>
      </c>
      <c r="M1738" s="12" t="s">
        <v>19149</v>
      </c>
      <c r="N1738" s="12" t="s">
        <v>19150</v>
      </c>
    </row>
    <row r="1739" spans="1:14">
      <c r="A1739" s="12" t="s">
        <v>4250</v>
      </c>
      <c r="B1739" s="8">
        <v>626.07650803293905</v>
      </c>
      <c r="C1739" s="12">
        <v>1258.8911941240499</v>
      </c>
      <c r="D1739" s="8">
        <v>-1.00774272261944</v>
      </c>
      <c r="E1739" s="12">
        <v>5.8897235864342097E-3</v>
      </c>
      <c r="F1739" s="8" t="s">
        <v>4251</v>
      </c>
      <c r="G1739" s="12" t="s">
        <v>4252</v>
      </c>
      <c r="H1739" s="12">
        <v>1</v>
      </c>
      <c r="I1739" s="13" t="str">
        <f>HYPERLINK("http://www.ncbi.nlm.nih.gov/gene/125061", "125061")</f>
        <v>125061</v>
      </c>
      <c r="J1739" s="12" t="s">
        <v>17632</v>
      </c>
      <c r="K1739" s="12" t="s">
        <v>17633</v>
      </c>
      <c r="L1739" s="13" t="str">
        <f>HYPERLINK("http://asia.ensembl.org/Homo_sapiens/Gene/Summary?g=ENSG00000183077", "ENSG00000183077")</f>
        <v>ENSG00000183077</v>
      </c>
      <c r="M1739" s="12" t="s">
        <v>17634</v>
      </c>
      <c r="N1739" s="12" t="s">
        <v>17635</v>
      </c>
    </row>
    <row r="1740" spans="1:14">
      <c r="A1740" s="12" t="s">
        <v>3189</v>
      </c>
      <c r="B1740" s="8">
        <v>118.53953109215099</v>
      </c>
      <c r="C1740" s="12">
        <v>238.20930276058999</v>
      </c>
      <c r="D1740" s="8">
        <v>-1.0068614999580401</v>
      </c>
      <c r="E1740" s="12">
        <v>1.13319681307442E-2</v>
      </c>
      <c r="F1740" s="8" t="s">
        <v>3190</v>
      </c>
      <c r="G1740" s="12" t="s">
        <v>3191</v>
      </c>
      <c r="H1740" s="12">
        <v>1</v>
      </c>
      <c r="I1740" s="13" t="str">
        <f>HYPERLINK("http://www.ncbi.nlm.nih.gov/gene/126259", "126259")</f>
        <v>126259</v>
      </c>
      <c r="J1740" s="12" t="s">
        <v>17239</v>
      </c>
      <c r="K1740" s="12" t="s">
        <v>17240</v>
      </c>
      <c r="L1740" s="13" t="str">
        <f>HYPERLINK("http://asia.ensembl.org/Homo_sapiens/Gene/Summary?g=ENSG00000167664", "ENSG00000167664")</f>
        <v>ENSG00000167664</v>
      </c>
      <c r="M1740" s="12" t="s">
        <v>17241</v>
      </c>
      <c r="N1740" s="12" t="s">
        <v>17242</v>
      </c>
    </row>
    <row r="1741" spans="1:14">
      <c r="A1741" s="12" t="s">
        <v>8307</v>
      </c>
      <c r="B1741" s="8">
        <v>264.90640109654902</v>
      </c>
      <c r="C1741" s="12">
        <v>532.32787589869895</v>
      </c>
      <c r="D1741" s="8">
        <v>-1.0068324115988601</v>
      </c>
      <c r="E1741" s="12">
        <v>2.2506027758930299E-4</v>
      </c>
      <c r="F1741" s="8" t="s">
        <v>8308</v>
      </c>
      <c r="G1741" s="12" t="s">
        <v>18776</v>
      </c>
      <c r="H1741" s="12">
        <v>4</v>
      </c>
      <c r="I1741" s="12" t="s">
        <v>8309</v>
      </c>
      <c r="J1741" s="12" t="s">
        <v>8310</v>
      </c>
      <c r="K1741" s="12" t="s">
        <v>8311</v>
      </c>
      <c r="L1741" s="12" t="s">
        <v>8312</v>
      </c>
      <c r="M1741" s="12" t="s">
        <v>8313</v>
      </c>
      <c r="N1741" s="12" t="s">
        <v>8314</v>
      </c>
    </row>
    <row r="1742" spans="1:14">
      <c r="A1742" s="12" t="s">
        <v>8752</v>
      </c>
      <c r="B1742" s="8">
        <v>123994.416627621</v>
      </c>
      <c r="C1742" s="12">
        <v>249143.50096205401</v>
      </c>
      <c r="D1742" s="8">
        <v>-1.0067017824246001</v>
      </c>
      <c r="E1742" s="12">
        <v>1.2181693860411799E-2</v>
      </c>
      <c r="F1742" s="8" t="s">
        <v>5361</v>
      </c>
      <c r="G1742" s="12" t="s">
        <v>17865</v>
      </c>
      <c r="H1742" s="12">
        <v>1</v>
      </c>
      <c r="I1742" s="13" t="str">
        <f>HYPERLINK("http://www.ncbi.nlm.nih.gov/gene/7178", "7178")</f>
        <v>7178</v>
      </c>
      <c r="J1742" s="13" t="str">
        <f>HYPERLINK("http://www.ncbi.nlm.nih.gov/nuccore/NM_003295", "NM_003295")</f>
        <v>NM_003295</v>
      </c>
      <c r="K1742" s="12" t="s">
        <v>5362</v>
      </c>
      <c r="L1742" s="13" t="str">
        <f>HYPERLINK("http://asia.ensembl.org/Homo_sapiens/Gene/Summary?g=ENSG00000133112", "ENSG00000133112")</f>
        <v>ENSG00000133112</v>
      </c>
      <c r="M1742" s="12" t="s">
        <v>17866</v>
      </c>
      <c r="N1742" s="12" t="s">
        <v>17867</v>
      </c>
    </row>
    <row r="1743" spans="1:14">
      <c r="A1743" s="12" t="s">
        <v>8219</v>
      </c>
      <c r="B1743" s="8">
        <v>3914.6431633526099</v>
      </c>
      <c r="C1743" s="12">
        <v>7864.8694364004295</v>
      </c>
      <c r="D1743" s="8">
        <v>-1.00654201024084</v>
      </c>
      <c r="E1743" s="12">
        <v>5.4331131441983996E-3</v>
      </c>
      <c r="F1743" s="8" t="s">
        <v>8220</v>
      </c>
      <c r="G1743" s="12" t="s">
        <v>8221</v>
      </c>
      <c r="H1743" s="12">
        <v>1</v>
      </c>
      <c r="I1743" s="13" t="str">
        <f>HYPERLINK("http://www.ncbi.nlm.nih.gov/gene/384", "384")</f>
        <v>384</v>
      </c>
      <c r="J1743" s="13" t="str">
        <f>HYPERLINK("http://www.ncbi.nlm.nih.gov/nuccore/NM_001172", "NM_001172")</f>
        <v>NM_001172</v>
      </c>
      <c r="K1743" s="12" t="s">
        <v>8222</v>
      </c>
      <c r="L1743" s="13" t="str">
        <f>HYPERLINK("http://asia.ensembl.org/Homo_sapiens/Gene/Summary?g=ENSG00000081181", "ENSG00000081181")</f>
        <v>ENSG00000081181</v>
      </c>
      <c r="M1743" s="12" t="s">
        <v>18748</v>
      </c>
      <c r="N1743" s="12" t="s">
        <v>8223</v>
      </c>
    </row>
    <row r="1744" spans="1:14">
      <c r="A1744" s="12" t="s">
        <v>730</v>
      </c>
      <c r="B1744" s="8">
        <v>5450.8499764133703</v>
      </c>
      <c r="C1744" s="12">
        <v>10951.096714932901</v>
      </c>
      <c r="D1744" s="8">
        <v>-1.0065222393441799</v>
      </c>
      <c r="E1744" s="12">
        <v>1.8371777687210601E-3</v>
      </c>
      <c r="F1744" s="8" t="s">
        <v>731</v>
      </c>
      <c r="G1744" s="12" t="s">
        <v>732</v>
      </c>
      <c r="H1744" s="12">
        <v>1</v>
      </c>
      <c r="I1744" s="13" t="str">
        <f>HYPERLINK("http://www.ncbi.nlm.nih.gov/gene/51019", "51019")</f>
        <v>51019</v>
      </c>
      <c r="J1744" s="13" t="str">
        <f>HYPERLINK("http://www.ncbi.nlm.nih.gov/nuccore/NM_016053", "NM_016053")</f>
        <v>NM_016053</v>
      </c>
      <c r="K1744" s="12" t="s">
        <v>733</v>
      </c>
      <c r="L1744" s="13" t="str">
        <f>HYPERLINK("http://asia.ensembl.org/Homo_sapiens/Gene/Summary?g=ENSG00000120860", "ENSG00000120860")</f>
        <v>ENSG00000120860</v>
      </c>
      <c r="M1744" s="12" t="s">
        <v>16427</v>
      </c>
      <c r="N1744" s="12" t="s">
        <v>16428</v>
      </c>
    </row>
    <row r="1745" spans="1:14">
      <c r="A1745" s="12" t="s">
        <v>1705</v>
      </c>
      <c r="B1745" s="8">
        <v>30368.960246213799</v>
      </c>
      <c r="C1745" s="12">
        <v>60998.342648522499</v>
      </c>
      <c r="D1745" s="8">
        <v>-1.00617252931157</v>
      </c>
      <c r="E1745" s="12">
        <v>1.7783846927638802E-2</v>
      </c>
      <c r="F1745" s="8" t="s">
        <v>1706</v>
      </c>
      <c r="G1745" s="12" t="s">
        <v>1707</v>
      </c>
      <c r="H1745" s="12">
        <v>1</v>
      </c>
      <c r="I1745" s="13" t="str">
        <f>HYPERLINK("http://www.ncbi.nlm.nih.gov/gene/2794", "2794")</f>
        <v>2794</v>
      </c>
      <c r="J1745" s="13" t="str">
        <f>HYPERLINK("http://www.ncbi.nlm.nih.gov/nuccore/NM_005275", "NM_005275")</f>
        <v>NM_005275</v>
      </c>
      <c r="K1745" s="12" t="s">
        <v>1708</v>
      </c>
      <c r="L1745" s="13" t="str">
        <f>HYPERLINK("http://asia.ensembl.org/Homo_sapiens/Gene/Summary?g=ENSG00000206492", "ENSG00000206492")</f>
        <v>ENSG00000206492</v>
      </c>
      <c r="M1745" s="12" t="s">
        <v>16765</v>
      </c>
      <c r="N1745" s="12" t="s">
        <v>16766</v>
      </c>
    </row>
    <row r="1746" spans="1:14">
      <c r="A1746" s="12" t="s">
        <v>10089</v>
      </c>
      <c r="B1746" s="8">
        <v>626.88256180700898</v>
      </c>
      <c r="C1746" s="12">
        <v>1259.1115102373401</v>
      </c>
      <c r="D1746" s="8">
        <v>-1.0061389540597601</v>
      </c>
      <c r="E1746" s="12">
        <v>4.4813743827456197E-3</v>
      </c>
      <c r="F1746" s="8" t="s">
        <v>7843</v>
      </c>
      <c r="G1746" s="12" t="s">
        <v>7844</v>
      </c>
      <c r="H1746" s="12">
        <v>1</v>
      </c>
      <c r="I1746" s="13" t="str">
        <f>HYPERLINK("http://www.ncbi.nlm.nih.gov/gene/85363", "85363")</f>
        <v>85363</v>
      </c>
      <c r="J1746" s="13" t="str">
        <f>HYPERLINK("http://www.ncbi.nlm.nih.gov/nuccore/NM_033092", "NM_033092")</f>
        <v>NM_033092</v>
      </c>
      <c r="K1746" s="12" t="s">
        <v>10090</v>
      </c>
      <c r="L1746" s="13" t="str">
        <f>HYPERLINK("http://asia.ensembl.org/Homo_sapiens/Gene/Summary?g=ENSG00000132256", "ENSG00000132256")</f>
        <v>ENSG00000132256</v>
      </c>
      <c r="M1746" s="12" t="s">
        <v>19532</v>
      </c>
      <c r="N1746" s="12" t="s">
        <v>19533</v>
      </c>
    </row>
    <row r="1747" spans="1:14">
      <c r="A1747" s="12" t="s">
        <v>6204</v>
      </c>
      <c r="B1747" s="8">
        <v>3884.8098201757698</v>
      </c>
      <c r="C1747" s="12">
        <v>7799.3250859039399</v>
      </c>
      <c r="D1747" s="8">
        <v>-1.00550531224103</v>
      </c>
      <c r="E1747" s="12">
        <v>1.51363046488399E-2</v>
      </c>
      <c r="F1747" s="8" t="s">
        <v>6205</v>
      </c>
      <c r="G1747" s="12" t="s">
        <v>6206</v>
      </c>
      <c r="H1747" s="12">
        <v>1</v>
      </c>
      <c r="I1747" s="13" t="str">
        <f>HYPERLINK("http://www.ncbi.nlm.nih.gov/gene/28511", "28511")</f>
        <v>28511</v>
      </c>
      <c r="J1747" s="12" t="s">
        <v>18084</v>
      </c>
      <c r="K1747" s="12" t="s">
        <v>18085</v>
      </c>
      <c r="L1747" s="13" t="str">
        <f>HYPERLINK("http://asia.ensembl.org/Homo_sapiens/Gene/Summary?g=ENSG00000168256", "ENSG00000168256")</f>
        <v>ENSG00000168256</v>
      </c>
      <c r="M1747" s="12" t="s">
        <v>18086</v>
      </c>
      <c r="N1747" s="12" t="s">
        <v>18087</v>
      </c>
    </row>
    <row r="1748" spans="1:14">
      <c r="A1748" s="12" t="s">
        <v>3141</v>
      </c>
      <c r="B1748" s="8">
        <v>1465.53755755611</v>
      </c>
      <c r="C1748" s="12">
        <v>2941.2524883650699</v>
      </c>
      <c r="D1748" s="8">
        <v>-1.0050006953335699</v>
      </c>
      <c r="E1748" s="12">
        <v>1.2069118636359099E-2</v>
      </c>
      <c r="F1748" s="8" t="s">
        <v>3142</v>
      </c>
      <c r="G1748" s="12" t="s">
        <v>3143</v>
      </c>
      <c r="H1748" s="12">
        <v>1</v>
      </c>
      <c r="I1748" s="13" t="str">
        <f>HYPERLINK("http://www.ncbi.nlm.nih.gov/gene/55554", "55554")</f>
        <v>55554</v>
      </c>
      <c r="J1748" s="13" t="str">
        <f>HYPERLINK("http://www.ncbi.nlm.nih.gov/nuccore/NM_017509", "NM_017509")</f>
        <v>NM_017509</v>
      </c>
      <c r="K1748" s="12" t="s">
        <v>3144</v>
      </c>
      <c r="L1748" s="13" t="str">
        <f>HYPERLINK("http://asia.ensembl.org/Homo_sapiens/Gene/Summary?g=ENSG00000174562", "ENSG00000174562")</f>
        <v>ENSG00000174562</v>
      </c>
      <c r="M1748" s="12" t="s">
        <v>17215</v>
      </c>
      <c r="N1748" s="12" t="s">
        <v>17216</v>
      </c>
    </row>
    <row r="1749" spans="1:14">
      <c r="A1749" s="12" t="s">
        <v>3729</v>
      </c>
      <c r="B1749" s="8">
        <v>8354.9478483517105</v>
      </c>
      <c r="C1749" s="12">
        <v>16763.428004866299</v>
      </c>
      <c r="D1749" s="8">
        <v>-1.0046144722313599</v>
      </c>
      <c r="E1749" s="12">
        <v>1.2204435802452901E-2</v>
      </c>
      <c r="F1749" s="8" t="s">
        <v>3730</v>
      </c>
      <c r="G1749" s="12" t="s">
        <v>3731</v>
      </c>
      <c r="H1749" s="12">
        <v>1</v>
      </c>
      <c r="I1749" s="13" t="str">
        <f>HYPERLINK("http://www.ncbi.nlm.nih.gov/gene/23479", "23479")</f>
        <v>23479</v>
      </c>
      <c r="J1749" s="12" t="s">
        <v>17391</v>
      </c>
      <c r="K1749" s="12" t="s">
        <v>17392</v>
      </c>
      <c r="L1749" s="13" t="str">
        <f>HYPERLINK("http://asia.ensembl.org/Homo_sapiens/Gene/Summary?g=ENSG00000136003", "ENSG00000136003")</f>
        <v>ENSG00000136003</v>
      </c>
      <c r="M1749" s="12" t="s">
        <v>17393</v>
      </c>
      <c r="N1749" s="12" t="s">
        <v>17394</v>
      </c>
    </row>
    <row r="1750" spans="1:14">
      <c r="A1750" s="12" t="s">
        <v>9920</v>
      </c>
      <c r="B1750" s="8">
        <v>2703.51490575056</v>
      </c>
      <c r="C1750" s="12">
        <v>5423.8315191593301</v>
      </c>
      <c r="D1750" s="8">
        <v>-1.0044760539390301</v>
      </c>
      <c r="E1750" s="12">
        <v>1.1494583760632501E-2</v>
      </c>
      <c r="F1750" s="8" t="s">
        <v>6849</v>
      </c>
      <c r="G1750" s="12" t="s">
        <v>19423</v>
      </c>
      <c r="H1750" s="12">
        <v>1</v>
      </c>
      <c r="I1750" s="13" t="str">
        <f>HYPERLINK("http://www.ncbi.nlm.nih.gov/gene/3785", "3785")</f>
        <v>3785</v>
      </c>
      <c r="J1750" s="12" t="s">
        <v>19424</v>
      </c>
      <c r="K1750" s="12" t="s">
        <v>19425</v>
      </c>
      <c r="L1750" s="13" t="str">
        <f>HYPERLINK("http://asia.ensembl.org/Homo_sapiens/Gene/Summary?g=ENSG00000075043", "ENSG00000075043")</f>
        <v>ENSG00000075043</v>
      </c>
      <c r="M1750" s="12" t="s">
        <v>19426</v>
      </c>
      <c r="N1750" s="12" t="s">
        <v>19427</v>
      </c>
    </row>
    <row r="1751" spans="1:14">
      <c r="A1751" s="12" t="s">
        <v>8632</v>
      </c>
      <c r="B1751" s="8">
        <v>8015.7200208843897</v>
      </c>
      <c r="C1751" s="12">
        <v>16078.809362972999</v>
      </c>
      <c r="D1751" s="8">
        <v>-1.0042565558121099</v>
      </c>
      <c r="E1751" s="12">
        <v>2.2324561878379601E-2</v>
      </c>
      <c r="F1751" s="8" t="s">
        <v>6130</v>
      </c>
      <c r="G1751" s="12" t="s">
        <v>6131</v>
      </c>
      <c r="H1751" s="12">
        <v>1</v>
      </c>
      <c r="I1751" s="13" t="str">
        <f>HYPERLINK("http://www.ncbi.nlm.nih.gov/gene/128240", "128240")</f>
        <v>128240</v>
      </c>
      <c r="J1751" s="13" t="str">
        <f>HYPERLINK("http://www.ncbi.nlm.nih.gov/nuccore/NM_144772", "NM_144772")</f>
        <v>NM_144772</v>
      </c>
      <c r="K1751" s="12" t="s">
        <v>6132</v>
      </c>
      <c r="L1751" s="13" t="str">
        <f>HYPERLINK("http://asia.ensembl.org/Homo_sapiens/Gene/Summary?g=ENSG00000163382", "ENSG00000163382")</f>
        <v>ENSG00000163382</v>
      </c>
      <c r="M1751" s="12" t="s">
        <v>18941</v>
      </c>
      <c r="N1751" s="12" t="s">
        <v>18942</v>
      </c>
    </row>
    <row r="1752" spans="1:14">
      <c r="A1752" s="12" t="s">
        <v>4125</v>
      </c>
      <c r="B1752" s="8">
        <v>17080.405300910301</v>
      </c>
      <c r="C1752" s="12">
        <v>34241.693035049298</v>
      </c>
      <c r="D1752" s="8">
        <v>-1.0034118265704901</v>
      </c>
      <c r="E1752" s="12">
        <v>4.93611149815717E-3</v>
      </c>
      <c r="F1752" s="8" t="s">
        <v>4126</v>
      </c>
      <c r="G1752" s="12" t="s">
        <v>4127</v>
      </c>
      <c r="H1752" s="12">
        <v>1</v>
      </c>
      <c r="I1752" s="13" t="str">
        <f>HYPERLINK("http://www.ncbi.nlm.nih.gov/gene/27068", "27068")</f>
        <v>27068</v>
      </c>
      <c r="J1752" s="12" t="s">
        <v>17568</v>
      </c>
      <c r="K1752" s="12" t="s">
        <v>17569</v>
      </c>
      <c r="L1752" s="13" t="str">
        <f>HYPERLINK("http://asia.ensembl.org/Homo_sapiens/Gene/Summary?g=ENSG00000138777", "ENSG00000138777")</f>
        <v>ENSG00000138777</v>
      </c>
      <c r="M1752" s="12" t="s">
        <v>17570</v>
      </c>
      <c r="N1752" s="12" t="s">
        <v>17571</v>
      </c>
    </row>
    <row r="1753" spans="1:14">
      <c r="A1753" s="12" t="s">
        <v>11063</v>
      </c>
      <c r="B1753" s="8">
        <v>412.47803927852499</v>
      </c>
      <c r="C1753" s="12">
        <v>826.73147571423203</v>
      </c>
      <c r="D1753" s="8">
        <v>-1.0031015038578199</v>
      </c>
      <c r="E1753" s="12">
        <v>1.5685274023983101E-3</v>
      </c>
      <c r="F1753" s="8" t="s">
        <v>2598</v>
      </c>
      <c r="G1753" s="12" t="s">
        <v>19948</v>
      </c>
      <c r="H1753" s="12">
        <v>1</v>
      </c>
      <c r="I1753" s="13" t="str">
        <f>HYPERLINK("http://www.ncbi.nlm.nih.gov/gene/11120", "11120")</f>
        <v>11120</v>
      </c>
      <c r="J1753" s="13" t="str">
        <f>HYPERLINK("http://www.ncbi.nlm.nih.gov/nuccore/NM_001197234", "NM_001197234")</f>
        <v>NM_001197234</v>
      </c>
      <c r="K1753" s="12" t="s">
        <v>11064</v>
      </c>
      <c r="L1753" s="13" t="str">
        <f>HYPERLINK("http://asia.ensembl.org/Homo_sapiens/Gene/Summary?g=ENSG00000112763", "ENSG00000112763")</f>
        <v>ENSG00000112763</v>
      </c>
      <c r="M1753" s="12" t="s">
        <v>19949</v>
      </c>
      <c r="N1753" s="12" t="s">
        <v>19950</v>
      </c>
    </row>
    <row r="1754" spans="1:14">
      <c r="A1754" s="12" t="s">
        <v>11203</v>
      </c>
      <c r="B1754" s="8">
        <v>136.538524789197</v>
      </c>
      <c r="C1754" s="12">
        <v>273.567009308102</v>
      </c>
      <c r="D1754" s="8">
        <v>-1.00258618986188</v>
      </c>
      <c r="E1754" s="12">
        <v>2.1776698149293901E-2</v>
      </c>
      <c r="F1754" s="8" t="s">
        <v>38</v>
      </c>
      <c r="G1754" s="12" t="s">
        <v>38</v>
      </c>
      <c r="H1754" s="12">
        <v>1</v>
      </c>
      <c r="I1754" s="12" t="s">
        <v>38</v>
      </c>
      <c r="J1754" s="12" t="s">
        <v>38</v>
      </c>
      <c r="K1754" s="12" t="s">
        <v>38</v>
      </c>
      <c r="L1754" s="13" t="str">
        <f>HYPERLINK("http://asia.ensembl.org/Homo_sapiens/Gene/Summary?g=ENSG00000126778", "ENSG00000126778")</f>
        <v>ENSG00000126778</v>
      </c>
      <c r="M1754" s="12" t="s">
        <v>11204</v>
      </c>
      <c r="N1754" s="12" t="s">
        <v>16563</v>
      </c>
    </row>
    <row r="1755" spans="1:14">
      <c r="A1755" s="12" t="s">
        <v>1467</v>
      </c>
      <c r="B1755" s="8">
        <v>11519.940044236901</v>
      </c>
      <c r="C1755" s="12">
        <v>23080.912408265602</v>
      </c>
      <c r="D1755" s="8">
        <v>-1.00256704781915</v>
      </c>
      <c r="E1755" s="12">
        <v>4.0192570790483903E-3</v>
      </c>
      <c r="F1755" s="8" t="s">
        <v>1468</v>
      </c>
      <c r="G1755" s="12" t="s">
        <v>1469</v>
      </c>
      <c r="H1755" s="12">
        <v>1</v>
      </c>
      <c r="I1755" s="13" t="str">
        <f>HYPERLINK("http://www.ncbi.nlm.nih.gov/gene/6903", "6903")</f>
        <v>6903</v>
      </c>
      <c r="J1755" s="13" t="str">
        <f>HYPERLINK("http://www.ncbi.nlm.nih.gov/nuccore/NM_003192", "NM_003192")</f>
        <v>NM_003192</v>
      </c>
      <c r="K1755" s="12" t="s">
        <v>1470</v>
      </c>
      <c r="L1755" s="13" t="str">
        <f>HYPERLINK("http://asia.ensembl.org/Homo_sapiens/Gene/Summary?g=ENSG00000124659", "ENSG00000124659")</f>
        <v>ENSG00000124659</v>
      </c>
      <c r="M1755" s="12" t="s">
        <v>1471</v>
      </c>
      <c r="N1755" s="12" t="s">
        <v>1472</v>
      </c>
    </row>
    <row r="1756" spans="1:14">
      <c r="A1756" s="12" t="s">
        <v>11754</v>
      </c>
      <c r="B1756" s="8">
        <v>617.81618954813996</v>
      </c>
      <c r="C1756" s="12">
        <v>1237.7747125323301</v>
      </c>
      <c r="D1756" s="8">
        <v>-1.0024991717760401</v>
      </c>
      <c r="E1756" s="12">
        <v>2.1483716722299501E-3</v>
      </c>
      <c r="F1756" s="8" t="s">
        <v>38</v>
      </c>
      <c r="G1756" s="12" t="s">
        <v>38</v>
      </c>
      <c r="H1756" s="12">
        <v>1</v>
      </c>
      <c r="I1756" s="12" t="s">
        <v>38</v>
      </c>
      <c r="J1756" s="12" t="s">
        <v>38</v>
      </c>
      <c r="K1756" s="12" t="s">
        <v>38</v>
      </c>
      <c r="L1756" s="12" t="s">
        <v>11755</v>
      </c>
      <c r="M1756" s="12" t="s">
        <v>11756</v>
      </c>
      <c r="N1756" s="12" t="s">
        <v>20184</v>
      </c>
    </row>
    <row r="1757" spans="1:14">
      <c r="A1757" s="12" t="s">
        <v>2367</v>
      </c>
      <c r="B1757" s="8">
        <v>355.28722445809001</v>
      </c>
      <c r="C1757" s="12">
        <v>711.72209569455299</v>
      </c>
      <c r="D1757" s="8">
        <v>-1.00232821303188</v>
      </c>
      <c r="E1757" s="12">
        <v>9.8965917142405206E-3</v>
      </c>
      <c r="F1757" s="8" t="s">
        <v>2368</v>
      </c>
      <c r="G1757" s="12" t="s">
        <v>16985</v>
      </c>
      <c r="H1757" s="12">
        <v>1</v>
      </c>
      <c r="I1757" s="13" t="str">
        <f>HYPERLINK("http://www.ncbi.nlm.nih.gov/gene/286336", "286336")</f>
        <v>286336</v>
      </c>
      <c r="J1757" s="13" t="str">
        <f>HYPERLINK("http://www.ncbi.nlm.nih.gov/nuccore/NM_033387", "NM_033387")</f>
        <v>NM_033387</v>
      </c>
      <c r="K1757" s="12" t="s">
        <v>2369</v>
      </c>
      <c r="L1757" s="13" t="str">
        <f>HYPERLINK("http://asia.ensembl.org/Homo_sapiens/Gene/Summary?g=ENSG00000126882", "ENSG00000126882")</f>
        <v>ENSG00000126882</v>
      </c>
      <c r="M1757" s="12" t="s">
        <v>16986</v>
      </c>
      <c r="N1757" s="12" t="s">
        <v>16987</v>
      </c>
    </row>
    <row r="1758" spans="1:14">
      <c r="A1758" s="12" t="s">
        <v>3594</v>
      </c>
      <c r="B1758" s="8">
        <v>49.999999999999901</v>
      </c>
      <c r="C1758" s="12">
        <v>100.152716072228</v>
      </c>
      <c r="D1758" s="8">
        <v>-1.0022015465705001</v>
      </c>
      <c r="E1758" s="12">
        <v>2.8438474955421398E-5</v>
      </c>
      <c r="F1758" s="8" t="s">
        <v>3595</v>
      </c>
      <c r="G1758" s="12" t="s">
        <v>3596</v>
      </c>
      <c r="H1758" s="12">
        <v>1</v>
      </c>
      <c r="I1758" s="13" t="str">
        <f>HYPERLINK("http://www.ncbi.nlm.nih.gov/gene/3925", "3925")</f>
        <v>3925</v>
      </c>
      <c r="J1758" s="13" t="str">
        <f>HYPERLINK("http://www.ncbi.nlm.nih.gov/nuccore/NM_001145454", "NM_001145454")</f>
        <v>NM_001145454</v>
      </c>
      <c r="K1758" s="12" t="s">
        <v>3597</v>
      </c>
      <c r="L1758" s="13" t="str">
        <f>HYPERLINK("http://asia.ensembl.org/Homo_sapiens/Gene/Summary?g=ENSG00000117632", "ENSG00000117632")</f>
        <v>ENSG00000117632</v>
      </c>
      <c r="M1758" s="12" t="s">
        <v>17348</v>
      </c>
      <c r="N1758" s="12" t="s">
        <v>17349</v>
      </c>
    </row>
    <row r="1759" spans="1:14">
      <c r="A1759" s="12" t="s">
        <v>4226</v>
      </c>
      <c r="B1759" s="8">
        <v>549.67710928584802</v>
      </c>
      <c r="C1759" s="12">
        <v>1100.91730124429</v>
      </c>
      <c r="D1759" s="8">
        <v>-1.0020497942906501</v>
      </c>
      <c r="E1759" s="12">
        <v>3.13169084373831E-3</v>
      </c>
      <c r="F1759" s="8" t="s">
        <v>4227</v>
      </c>
      <c r="G1759" s="12" t="s">
        <v>898</v>
      </c>
      <c r="H1759" s="12">
        <v>1</v>
      </c>
      <c r="I1759" s="13" t="str">
        <f>HYPERLINK("http://www.ncbi.nlm.nih.gov/gene/50515", "50515")</f>
        <v>50515</v>
      </c>
      <c r="J1759" s="12" t="s">
        <v>17615</v>
      </c>
      <c r="K1759" s="12" t="s">
        <v>17616</v>
      </c>
      <c r="L1759" s="13" t="str">
        <f>HYPERLINK("http://asia.ensembl.org/Homo_sapiens/Gene/Summary?g=ENSG00000171310", "ENSG00000171310")</f>
        <v>ENSG00000171310</v>
      </c>
      <c r="M1759" s="12" t="s">
        <v>17617</v>
      </c>
      <c r="N1759" s="12" t="s">
        <v>17618</v>
      </c>
    </row>
    <row r="1760" spans="1:14">
      <c r="A1760" s="12" t="s">
        <v>9460</v>
      </c>
      <c r="B1760" s="8">
        <v>56820.782735724999</v>
      </c>
      <c r="C1760" s="12">
        <v>113795.92384538399</v>
      </c>
      <c r="D1760" s="8">
        <v>-1.00195827077985</v>
      </c>
      <c r="E1760" s="12">
        <v>1.7364667150183401E-2</v>
      </c>
      <c r="F1760" s="8" t="s">
        <v>5586</v>
      </c>
      <c r="G1760" s="12" t="s">
        <v>17909</v>
      </c>
      <c r="H1760" s="12">
        <v>1</v>
      </c>
      <c r="I1760" s="13" t="str">
        <f>HYPERLINK("http://www.ncbi.nlm.nih.gov/gene/539", "539")</f>
        <v>539</v>
      </c>
      <c r="J1760" s="13" t="str">
        <f>HYPERLINK("http://www.ncbi.nlm.nih.gov/nuccore/NM_001697", "NM_001697")</f>
        <v>NM_001697</v>
      </c>
      <c r="K1760" s="12" t="s">
        <v>5587</v>
      </c>
      <c r="L1760" s="13" t="str">
        <f>HYPERLINK("http://asia.ensembl.org/Homo_sapiens/Gene/Summary?g=ENSG00000241837", "ENSG00000241837")</f>
        <v>ENSG00000241837</v>
      </c>
      <c r="M1760" s="12" t="s">
        <v>17910</v>
      </c>
      <c r="N1760" s="12" t="s">
        <v>17911</v>
      </c>
    </row>
    <row r="1761" spans="1:14">
      <c r="A1761" s="12" t="s">
        <v>10171</v>
      </c>
      <c r="B1761" s="8">
        <v>52873.516869906402</v>
      </c>
      <c r="C1761" s="12">
        <v>105882.839614219</v>
      </c>
      <c r="D1761" s="8">
        <v>-1.0018515957631</v>
      </c>
      <c r="E1761" s="12">
        <v>1.24194904746217E-2</v>
      </c>
      <c r="F1761" s="8" t="s">
        <v>9712</v>
      </c>
      <c r="G1761" s="12" t="s">
        <v>9713</v>
      </c>
      <c r="H1761" s="12">
        <v>1</v>
      </c>
      <c r="I1761" s="13" t="str">
        <f>HYPERLINK("http://www.ncbi.nlm.nih.gov/gene/7307", "7307")</f>
        <v>7307</v>
      </c>
      <c r="J1761" s="12" t="s">
        <v>19569</v>
      </c>
      <c r="K1761" s="12" t="s">
        <v>19570</v>
      </c>
      <c r="L1761" s="13" t="str">
        <f>HYPERLINK("http://asia.ensembl.org/Homo_sapiens/Gene/Summary?g=ENSG00000160201", "ENSG00000160201")</f>
        <v>ENSG00000160201</v>
      </c>
      <c r="M1761" s="12" t="s">
        <v>9714</v>
      </c>
      <c r="N1761" s="12" t="s">
        <v>9715</v>
      </c>
    </row>
    <row r="1762" spans="1:14">
      <c r="A1762" s="12" t="s">
        <v>10984</v>
      </c>
      <c r="B1762" s="8">
        <v>1629.7140932607099</v>
      </c>
      <c r="C1762" s="12">
        <v>3262.9159887236401</v>
      </c>
      <c r="D1762" s="8">
        <v>-1.0015429530503701</v>
      </c>
      <c r="E1762" s="12">
        <v>4.2085314338914702E-3</v>
      </c>
      <c r="F1762" s="8" t="s">
        <v>10985</v>
      </c>
      <c r="G1762" s="12" t="s">
        <v>10986</v>
      </c>
      <c r="H1762" s="12">
        <v>1</v>
      </c>
      <c r="I1762" s="13" t="str">
        <f>HYPERLINK("http://www.ncbi.nlm.nih.gov/gene/100137047", "100137047")</f>
        <v>100137047</v>
      </c>
      <c r="J1762" s="13" t="str">
        <f>HYPERLINK("http://www.ncbi.nlm.nih.gov/nuccore/NM_001114632", "NM_001114632")</f>
        <v>NM_001114632</v>
      </c>
      <c r="K1762" s="12" t="s">
        <v>10987</v>
      </c>
      <c r="L1762" s="13" t="str">
        <f>HYPERLINK("http://asia.ensembl.org/Homo_sapiens/Gene/Summary?g=ENSG00000243789", "ENSG00000243789")</f>
        <v>ENSG00000243789</v>
      </c>
      <c r="M1762" s="12" t="s">
        <v>19918</v>
      </c>
      <c r="N1762" s="12" t="s">
        <v>19919</v>
      </c>
    </row>
    <row r="1763" spans="1:14">
      <c r="A1763" s="12" t="s">
        <v>3274</v>
      </c>
      <c r="B1763" s="8">
        <v>4724.6419385296904</v>
      </c>
      <c r="C1763" s="12">
        <v>9458.3702110327304</v>
      </c>
      <c r="D1763" s="8">
        <v>-1.0013866141099499</v>
      </c>
      <c r="E1763" s="12">
        <v>3.19701684378168E-3</v>
      </c>
      <c r="F1763" s="8" t="s">
        <v>3275</v>
      </c>
      <c r="G1763" s="12" t="s">
        <v>286</v>
      </c>
      <c r="H1763" s="12">
        <v>1</v>
      </c>
      <c r="I1763" s="13" t="str">
        <f>HYPERLINK("http://www.ncbi.nlm.nih.gov/gene/4700", "4700")</f>
        <v>4700</v>
      </c>
      <c r="J1763" s="13" t="str">
        <f>HYPERLINK("http://www.ncbi.nlm.nih.gov/nuccore/NM_002490", "NM_002490")</f>
        <v>NM_002490</v>
      </c>
      <c r="K1763" s="12" t="s">
        <v>3276</v>
      </c>
      <c r="L1763" s="13" t="str">
        <f>HYPERLINK("http://asia.ensembl.org/Homo_sapiens/Gene/Summary?g=ENSG00000281013", "ENSG00000281013")</f>
        <v>ENSG00000281013</v>
      </c>
      <c r="M1763" s="12" t="s">
        <v>17271</v>
      </c>
      <c r="N1763" s="12" t="s">
        <v>17272</v>
      </c>
    </row>
    <row r="1764" spans="1:14">
      <c r="A1764" s="12" t="s">
        <v>10328</v>
      </c>
      <c r="B1764" s="8">
        <v>6439.17755395114</v>
      </c>
      <c r="C1764" s="12">
        <v>12890.356321253899</v>
      </c>
      <c r="D1764" s="8">
        <v>-1.00134380737558</v>
      </c>
      <c r="E1764" s="12">
        <v>7.8049801354262496E-3</v>
      </c>
      <c r="F1764" s="8" t="s">
        <v>8944</v>
      </c>
      <c r="G1764" s="12" t="s">
        <v>8945</v>
      </c>
      <c r="H1764" s="12">
        <v>1</v>
      </c>
      <c r="I1764" s="13" t="str">
        <f>HYPERLINK("http://www.ncbi.nlm.nih.gov/gene/57680", "57680")</f>
        <v>57680</v>
      </c>
      <c r="J1764" s="12" t="s">
        <v>19668</v>
      </c>
      <c r="K1764" s="12" t="s">
        <v>19669</v>
      </c>
      <c r="L1764" s="13" t="str">
        <f>HYPERLINK("http://asia.ensembl.org/Homo_sapiens/Gene/Summary?g=ENSG00000100888", "ENSG00000100888")</f>
        <v>ENSG00000100888</v>
      </c>
      <c r="M1764" s="12" t="s">
        <v>19670</v>
      </c>
      <c r="N1764" s="12" t="s">
        <v>19671</v>
      </c>
    </row>
    <row r="1765" spans="1:14">
      <c r="A1765" s="12" t="s">
        <v>9081</v>
      </c>
      <c r="B1765" s="8">
        <v>4966.7659822115702</v>
      </c>
      <c r="C1765" s="12">
        <v>9939.3984942336301</v>
      </c>
      <c r="D1765" s="8">
        <v>-1.00085177309187</v>
      </c>
      <c r="E1765" s="12">
        <v>2.9472679220850502E-3</v>
      </c>
      <c r="F1765" s="8" t="s">
        <v>2960</v>
      </c>
      <c r="G1765" s="12" t="s">
        <v>2961</v>
      </c>
      <c r="H1765" s="12">
        <v>1</v>
      </c>
      <c r="I1765" s="13" t="str">
        <f>HYPERLINK("http://www.ncbi.nlm.nih.gov/gene/51490", "51490")</f>
        <v>51490</v>
      </c>
      <c r="J1765" s="13" t="str">
        <f>HYPERLINK("http://www.ncbi.nlm.nih.gov/nuccore/NM_016390", "NM_016390")</f>
        <v>NM_016390</v>
      </c>
      <c r="K1765" s="12" t="s">
        <v>2962</v>
      </c>
      <c r="L1765" s="13" t="str">
        <f>HYPERLINK("http://asia.ensembl.org/Homo_sapiens/Gene/Summary?g=ENSG00000198917", "ENSG00000198917")</f>
        <v>ENSG00000198917</v>
      </c>
      <c r="M1765" s="12" t="s">
        <v>19057</v>
      </c>
      <c r="N1765" s="12" t="s">
        <v>19058</v>
      </c>
    </row>
    <row r="1766" spans="1:14">
      <c r="A1766" s="12" t="s">
        <v>8258</v>
      </c>
      <c r="B1766" s="8">
        <v>1024.0120157502399</v>
      </c>
      <c r="C1766" s="12">
        <v>2049.0880977752399</v>
      </c>
      <c r="D1766" s="8">
        <v>-1.00074936839601</v>
      </c>
      <c r="E1766" s="12">
        <v>2.2515416450889E-3</v>
      </c>
      <c r="F1766" s="8" t="s">
        <v>8259</v>
      </c>
      <c r="G1766" s="12" t="s">
        <v>8260</v>
      </c>
      <c r="H1766" s="12">
        <v>4</v>
      </c>
      <c r="I1766" s="12" t="s">
        <v>8261</v>
      </c>
      <c r="J1766" s="12" t="s">
        <v>8262</v>
      </c>
      <c r="K1766" s="12" t="s">
        <v>8263</v>
      </c>
      <c r="L1766" s="12" t="s">
        <v>8264</v>
      </c>
      <c r="M1766" s="12" t="s">
        <v>18754</v>
      </c>
      <c r="N1766" s="12" t="s">
        <v>18755</v>
      </c>
    </row>
    <row r="1767" spans="1:14">
      <c r="A1767" s="12" t="s">
        <v>7065</v>
      </c>
      <c r="B1767" s="8">
        <v>4582.5907479992502</v>
      </c>
      <c r="C1767" s="12">
        <v>9169.7539834343006</v>
      </c>
      <c r="D1767" s="8">
        <v>-1.0007195776709801</v>
      </c>
      <c r="E1767" s="12">
        <v>2.0273084410567702E-2</v>
      </c>
      <c r="F1767" s="8" t="s">
        <v>7066</v>
      </c>
      <c r="G1767" s="12" t="s">
        <v>18352</v>
      </c>
      <c r="H1767" s="12">
        <v>1</v>
      </c>
      <c r="I1767" s="13" t="str">
        <f>HYPERLINK("http://www.ncbi.nlm.nih.gov/gene/26071", "26071")</f>
        <v>26071</v>
      </c>
      <c r="J1767" s="12" t="s">
        <v>18353</v>
      </c>
      <c r="K1767" s="12" t="s">
        <v>18354</v>
      </c>
      <c r="L1767" s="13" t="str">
        <f>HYPERLINK("http://asia.ensembl.org/Homo_sapiens/Gene/Summary?g=ENSG00000203950", "ENSG00000203950")</f>
        <v>ENSG00000203950</v>
      </c>
      <c r="M1767" s="12" t="s">
        <v>18355</v>
      </c>
      <c r="N1767" s="12" t="s">
        <v>7067</v>
      </c>
    </row>
    <row r="1768" spans="1:14">
      <c r="A1768" s="12" t="s">
        <v>10421</v>
      </c>
      <c r="B1768" s="8">
        <v>943.34424754949896</v>
      </c>
      <c r="C1768" s="12">
        <v>1887.53506683348</v>
      </c>
      <c r="D1768" s="8">
        <v>-1.00064720324249</v>
      </c>
      <c r="E1768" s="12">
        <v>1.7171993241252099E-3</v>
      </c>
      <c r="F1768" s="8" t="s">
        <v>10422</v>
      </c>
      <c r="G1768" s="12" t="s">
        <v>19734</v>
      </c>
      <c r="H1768" s="12">
        <v>1</v>
      </c>
      <c r="I1768" s="13" t="str">
        <f>HYPERLINK("http://www.ncbi.nlm.nih.gov/gene/8933", "8933")</f>
        <v>8933</v>
      </c>
      <c r="J1768" s="13" t="str">
        <f>HYPERLINK("http://www.ncbi.nlm.nih.gov/nuccore/NM_001078171", "NM_001078171")</f>
        <v>NM_001078171</v>
      </c>
      <c r="K1768" s="12" t="s">
        <v>10423</v>
      </c>
      <c r="L1768" s="13" t="str">
        <f>HYPERLINK("http://asia.ensembl.org/Homo_sapiens/Gene/Summary?g=ENSG00000134590", "ENSG00000134590")</f>
        <v>ENSG00000134590</v>
      </c>
      <c r="M1768" s="12" t="s">
        <v>19735</v>
      </c>
      <c r="N1768" s="12" t="s">
        <v>10424</v>
      </c>
    </row>
    <row r="1769" spans="1:14">
      <c r="A1769" s="12" t="s">
        <v>7046</v>
      </c>
      <c r="B1769" s="8">
        <v>1166.77147360964</v>
      </c>
      <c r="C1769" s="12">
        <v>2334.48666568832</v>
      </c>
      <c r="D1769" s="8">
        <v>-1.0005833287646999</v>
      </c>
      <c r="E1769" s="12">
        <v>5.31973421366903E-3</v>
      </c>
      <c r="F1769" s="8" t="s">
        <v>7047</v>
      </c>
      <c r="G1769" s="12" t="s">
        <v>18351</v>
      </c>
      <c r="H1769" s="12">
        <v>1</v>
      </c>
      <c r="I1769" s="13" t="str">
        <f>HYPERLINK("http://www.ncbi.nlm.nih.gov/gene/3049", "3049")</f>
        <v>3049</v>
      </c>
      <c r="J1769" s="13" t="str">
        <f>HYPERLINK("http://www.ncbi.nlm.nih.gov/nuccore/NM_005331", "NM_005331")</f>
        <v>NM_005331</v>
      </c>
      <c r="K1769" s="12" t="s">
        <v>7048</v>
      </c>
      <c r="L1769" s="13" t="str">
        <f>HYPERLINK("http://asia.ensembl.org/Homo_sapiens/Gene/Summary?g=ENSG00000086506", "ENSG00000086506")</f>
        <v>ENSG00000086506</v>
      </c>
      <c r="M1769" s="12" t="s">
        <v>7049</v>
      </c>
      <c r="N1769" s="12" t="s">
        <v>7050</v>
      </c>
    </row>
    <row r="1770" spans="1:14">
      <c r="A1770" s="12" t="s">
        <v>6245</v>
      </c>
      <c r="B1770" s="8">
        <v>23218.116522005399</v>
      </c>
      <c r="C1770" s="12">
        <v>46453.721045885803</v>
      </c>
      <c r="D1770" s="8">
        <v>-1.0005432202895399</v>
      </c>
      <c r="E1770" s="12">
        <v>1.2391606243108999E-2</v>
      </c>
      <c r="F1770" s="8" t="s">
        <v>6246</v>
      </c>
      <c r="G1770" s="12" t="s">
        <v>6247</v>
      </c>
      <c r="H1770" s="12">
        <v>4</v>
      </c>
      <c r="I1770" s="12" t="s">
        <v>6248</v>
      </c>
      <c r="J1770" s="12" t="s">
        <v>18091</v>
      </c>
      <c r="K1770" s="12" t="s">
        <v>18092</v>
      </c>
      <c r="L1770" s="13" t="str">
        <f>HYPERLINK("http://asia.ensembl.org/Homo_sapiens/Gene/Summary?g=ENSG00000242028", "ENSG00000242028")</f>
        <v>ENSG00000242028</v>
      </c>
      <c r="M1770" s="12" t="s">
        <v>18093</v>
      </c>
      <c r="N1770" s="12" t="s">
        <v>18094</v>
      </c>
    </row>
    <row r="1771" spans="1:14">
      <c r="A1771" s="12" t="s">
        <v>10217</v>
      </c>
      <c r="B1771" s="8">
        <v>451.96351074862702</v>
      </c>
      <c r="C1771" s="12">
        <v>904.06452803969398</v>
      </c>
      <c r="D1771" s="8">
        <v>-1.00021944793636</v>
      </c>
      <c r="E1771" s="12">
        <v>1.02189853428613E-2</v>
      </c>
      <c r="F1771" s="8" t="s">
        <v>4950</v>
      </c>
      <c r="G1771" s="12" t="s">
        <v>15801</v>
      </c>
      <c r="H1771" s="12">
        <v>1</v>
      </c>
      <c r="I1771" s="13" t="str">
        <f>HYPERLINK("http://www.ncbi.nlm.nih.gov/gene/158866", "158866")</f>
        <v>158866</v>
      </c>
      <c r="J1771" s="13" t="str">
        <f>HYPERLINK("http://www.ncbi.nlm.nih.gov/nuccore/NM_001146257", "NM_001146257")</f>
        <v>NM_001146257</v>
      </c>
      <c r="K1771" s="12" t="s">
        <v>10218</v>
      </c>
      <c r="L1771" s="13" t="str">
        <f>HYPERLINK("http://asia.ensembl.org/Homo_sapiens/Gene/Summary?g=ENSG00000102383", "ENSG00000102383")</f>
        <v>ENSG00000102383</v>
      </c>
      <c r="M1771" s="12" t="s">
        <v>15804</v>
      </c>
      <c r="N1771" s="12" t="s">
        <v>15805</v>
      </c>
    </row>
    <row r="1772" spans="1:14">
      <c r="A1772" s="12" t="s">
        <v>7030</v>
      </c>
      <c r="B1772" s="8">
        <v>243.555003444806</v>
      </c>
      <c r="C1772" s="12">
        <v>487.18403162803497</v>
      </c>
      <c r="D1772" s="8">
        <v>-1.0002192256526501</v>
      </c>
      <c r="E1772" s="12">
        <v>4.8337296997211801E-2</v>
      </c>
      <c r="F1772" s="8" t="s">
        <v>7031</v>
      </c>
      <c r="G1772" s="12" t="s">
        <v>7032</v>
      </c>
      <c r="H1772" s="12">
        <v>1</v>
      </c>
      <c r="I1772" s="13" t="str">
        <f>HYPERLINK("http://www.ncbi.nlm.nih.gov/gene/85409", "85409")</f>
        <v>85409</v>
      </c>
      <c r="J1772" s="12" t="s">
        <v>18341</v>
      </c>
      <c r="K1772" s="12" t="s">
        <v>18342</v>
      </c>
      <c r="L1772" s="13" t="str">
        <f>HYPERLINK("http://asia.ensembl.org/Homo_sapiens/Gene/Summary?g=ENSG00000276920", "ENSG00000276920")</f>
        <v>ENSG00000276920</v>
      </c>
      <c r="M1772" s="12" t="s">
        <v>18343</v>
      </c>
      <c r="N1772" s="12" t="s">
        <v>18344</v>
      </c>
    </row>
    <row r="1773" spans="1:14">
      <c r="A1773" s="12" t="s">
        <v>8931</v>
      </c>
      <c r="B1773" s="8">
        <v>23385.265927612701</v>
      </c>
      <c r="C1773" s="12">
        <v>46775.5082765439</v>
      </c>
      <c r="D1773" s="8">
        <v>-1.00015349571942</v>
      </c>
      <c r="E1773" s="12">
        <v>6.5072201746072004E-3</v>
      </c>
      <c r="F1773" s="8" t="s">
        <v>8816</v>
      </c>
      <c r="G1773" s="12" t="s">
        <v>14905</v>
      </c>
      <c r="H1773" s="12">
        <v>1</v>
      </c>
      <c r="I1773" s="13" t="str">
        <f>HYPERLINK("http://www.ncbi.nlm.nih.gov/gene/94239", "94239")</f>
        <v>94239</v>
      </c>
      <c r="J1773" s="12" t="s">
        <v>19023</v>
      </c>
      <c r="K1773" s="12" t="s">
        <v>19024</v>
      </c>
      <c r="L1773" s="13" t="str">
        <f>HYPERLINK("http://asia.ensembl.org/Homo_sapiens/Gene/Summary?g=ENSG00000105968", "ENSG00000105968")</f>
        <v>ENSG00000105968</v>
      </c>
      <c r="M1773" s="12" t="s">
        <v>14906</v>
      </c>
      <c r="N1773" s="12" t="s">
        <v>14907</v>
      </c>
    </row>
  </sheetData>
  <autoFilter ref="A2:N2" xr:uid="{00000000-0009-0000-0000-000004000000}">
    <sortState ref="A3:N1773">
      <sortCondition ref="D2"/>
    </sortState>
  </autoFilter>
  <mergeCells count="3">
    <mergeCell ref="B1:C1"/>
    <mergeCell ref="D1:E1"/>
    <mergeCell ref="F1:N1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Slide_List</vt:lpstr>
      <vt:lpstr>Diff Data_HDvs.ND (UP)</vt:lpstr>
      <vt:lpstr>Diff Data_HDvs.ND (Down)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CYHsu</cp:lastModifiedBy>
  <dcterms:created xsi:type="dcterms:W3CDTF">2018-08-01T08:24:07Z</dcterms:created>
  <dcterms:modified xsi:type="dcterms:W3CDTF">2023-09-13T02:56:13Z</dcterms:modified>
</cp:coreProperties>
</file>